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176" windowWidth="10760" windowHeight="11120" tabRatio="677" activeTab="0"/>
  </bookViews>
  <sheets>
    <sheet name="Sheet1" sheetId="1" r:id="rId1"/>
    <sheet name="Calc." sheetId="2" r:id="rId2"/>
  </sheets>
  <definedNames>
    <definedName name="ast1">'Sheet1'!$E$17</definedName>
    <definedName name="ast10">'Sheet1'!$E$26</definedName>
    <definedName name="ast2">'Sheet1'!$E$18</definedName>
    <definedName name="ast3">'Sheet1'!$E$19</definedName>
    <definedName name="ast4">'Sheet1'!$E$20</definedName>
    <definedName name="ast5">'Sheet1'!$E$21</definedName>
    <definedName name="ast6">'Sheet1'!$E$22</definedName>
    <definedName name="ast7">'Sheet1'!$E$23</definedName>
    <definedName name="ast8">'Sheet1'!$E$24</definedName>
    <definedName name="ast9">'Sheet1'!$E$25</definedName>
    <definedName name="b">'Sheet1'!$K$9</definedName>
    <definedName name="bc">#REF!</definedName>
    <definedName name="bk">'Sheet1'!$D$32</definedName>
    <definedName name="bkp">'Sheet1'!$D$34</definedName>
    <definedName name="cc">'Sheet1'!$N$9</definedName>
    <definedName name="d">'Sheet1'!$M$9</definedName>
    <definedName name="dc">#REF!</definedName>
    <definedName name="dcu">#REF!</definedName>
    <definedName name="ec">'Sheet1'!#REF!</definedName>
    <definedName name="ecC">'Sheet1'!#REF!</definedName>
    <definedName name="ecç_vec">#REF!</definedName>
    <definedName name="ecoc">'Calc.'!#REF!</definedName>
    <definedName name="ecr">'Calc.'!#REF!</definedName>
    <definedName name="Erc">'Sheet1'!#REF!</definedName>
    <definedName name="ErrChk">#REF!</definedName>
    <definedName name="es">'Sheet1'!$H$11</definedName>
    <definedName name="Es_vec">#REF!</definedName>
    <definedName name="esC">'Sheet1'!#REF!</definedName>
    <definedName name="esh">'Sheet1'!$I$11</definedName>
    <definedName name="eshn">'Calc.'!#REF!</definedName>
    <definedName name="esn">'Calc.'!#REF!</definedName>
    <definedName name="ess">'Sheet1'!$D$36</definedName>
    <definedName name="essn">'Calc.'!#REF!</definedName>
    <definedName name="esu">'Sheet1'!$J$11</definedName>
    <definedName name="esun">'Calc.'!#REF!</definedName>
    <definedName name="ey">'Calc.'!#REF!</definedName>
    <definedName name="fc">'Sheet1'!$C$11</definedName>
    <definedName name="fcc">'Calc.'!#REF!</definedName>
    <definedName name="fccu">#REF!</definedName>
    <definedName name="fu">'Sheet1'!$F$11</definedName>
    <definedName name="fy">'Sheet1'!$E$11</definedName>
    <definedName name="fyn">'Calc.'!#REF!</definedName>
    <definedName name="fyw">'Sheet1'!$D$29</definedName>
    <definedName name="gmc">'Sheet1'!$D$11</definedName>
    <definedName name="gms">'Sheet1'!$G$11</definedName>
    <definedName name="h">'Sheet1'!$L$9</definedName>
    <definedName name="hk">'Sheet1'!$D$33</definedName>
    <definedName name="hkp">'Sheet1'!$D$35</definedName>
    <definedName name="K_vec">#REF!</definedName>
    <definedName name="kd">#REF!</definedName>
    <definedName name="ke">#REF!</definedName>
    <definedName name="keçk">#REF!</definedName>
    <definedName name="ksy">#REF!</definedName>
    <definedName name="L">'Sheet1'!$R$10</definedName>
    <definedName name="Lp">'Sheet1'!#REF!</definedName>
    <definedName name="M_vec">#REF!</definedName>
    <definedName name="min60">#REF!</definedName>
    <definedName name="mines">#REF!</definedName>
    <definedName name="n">'Sheet1'!$B$11</definedName>
    <definedName name="_xlnm.Print_Area" localSheetId="0">'Sheet1'!$A$1:$T$56</definedName>
    <definedName name="phi">'Sheet1'!$D$30</definedName>
    <definedName name="s">'Sheet1'!$D$31</definedName>
    <definedName name="SlpCoef">#REF!</definedName>
    <definedName name="St_vec">'Sheet1'!$C$17:$C$26</definedName>
    <definedName name="xs1">'Sheet1'!$F$17</definedName>
    <definedName name="xs10">'Sheet1'!$F$26</definedName>
    <definedName name="xs2">'Sheet1'!$F$18</definedName>
    <definedName name="xs3">'Sheet1'!$F$19</definedName>
    <definedName name="xs4">'Sheet1'!$F$20</definedName>
    <definedName name="xs5">'Sheet1'!$F$21</definedName>
    <definedName name="xs6">'Sheet1'!$F$22</definedName>
    <definedName name="xs7">'Sheet1'!$F$23</definedName>
    <definedName name="xs8">'Sheet1'!$F$24</definedName>
    <definedName name="xs9">'Sheet1'!$F$25</definedName>
    <definedName name="Zc">'Calc.'!#REF!</definedName>
  </definedNames>
  <calcPr fullCalcOnLoad="1"/>
</workbook>
</file>

<file path=xl/comments1.xml><?xml version="1.0" encoding="utf-8"?>
<comments xmlns="http://schemas.openxmlformats.org/spreadsheetml/2006/main">
  <authors>
    <author>Pau</author>
  </authors>
  <commentList>
    <comment ref="O7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Input strain value for extreme compression fiber</t>
        </r>
      </text>
    </comment>
  </commentList>
</comments>
</file>

<file path=xl/sharedStrings.xml><?xml version="1.0" encoding="utf-8"?>
<sst xmlns="http://schemas.openxmlformats.org/spreadsheetml/2006/main" count="140" uniqueCount="117">
  <si>
    <t>d</t>
  </si>
  <si>
    <t>h</t>
  </si>
  <si>
    <t>b</t>
  </si>
  <si>
    <t>(MPa)</t>
  </si>
  <si>
    <t>(kN)</t>
  </si>
  <si>
    <t>(mm)</t>
  </si>
  <si>
    <r>
      <t>A</t>
    </r>
    <r>
      <rPr>
        <b/>
        <vertAlign val="subscript"/>
        <sz val="10"/>
        <rFont val="Arial"/>
        <family val="2"/>
      </rPr>
      <t>cci</t>
    </r>
  </si>
  <si>
    <r>
      <t>(mm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</si>
  <si>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t>M (kN.m)</t>
  </si>
  <si>
    <r>
      <t>f</t>
    </r>
    <r>
      <rPr>
        <vertAlign val="subscript"/>
        <sz val="10"/>
        <rFont val="Arial"/>
        <family val="2"/>
      </rPr>
      <t>e</t>
    </r>
  </si>
  <si>
    <t>s</t>
  </si>
  <si>
    <r>
      <t>b</t>
    </r>
    <r>
      <rPr>
        <vertAlign val="subscript"/>
        <sz val="10"/>
        <rFont val="Arial"/>
        <family val="2"/>
      </rPr>
      <t>k</t>
    </r>
  </si>
  <si>
    <r>
      <t>h</t>
    </r>
    <r>
      <rPr>
        <vertAlign val="subscript"/>
        <sz val="10"/>
        <rFont val="Arial"/>
        <family val="2"/>
      </rPr>
      <t>k</t>
    </r>
  </si>
  <si>
    <r>
      <t>b'</t>
    </r>
    <r>
      <rPr>
        <vertAlign val="subscript"/>
        <sz val="10"/>
        <rFont val="Arial"/>
        <family val="2"/>
      </rPr>
      <t>k</t>
    </r>
  </si>
  <si>
    <r>
      <t>h'</t>
    </r>
    <r>
      <rPr>
        <vertAlign val="subscript"/>
        <sz val="10"/>
        <rFont val="Arial"/>
        <family val="2"/>
      </rPr>
      <t>k</t>
    </r>
  </si>
  <si>
    <r>
      <t>f</t>
    </r>
    <r>
      <rPr>
        <vertAlign val="subscript"/>
        <sz val="10"/>
        <rFont val="Arial"/>
        <family val="2"/>
      </rPr>
      <t>yw</t>
    </r>
  </si>
  <si>
    <t>ess</t>
  </si>
  <si>
    <r>
      <t>ρ</t>
    </r>
    <r>
      <rPr>
        <i/>
        <vertAlign val="subscript"/>
        <sz val="12"/>
        <rFont val="Arial"/>
        <family val="2"/>
      </rPr>
      <t>t</t>
    </r>
    <r>
      <rPr>
        <i/>
        <sz val="12"/>
        <rFont val="Arial"/>
        <family val="2"/>
      </rPr>
      <t>=</t>
    </r>
  </si>
  <si>
    <r>
      <t xml:space="preserve">f </t>
    </r>
    <r>
      <rPr>
        <i/>
        <sz val="12"/>
        <rFont val="Arial Narrow"/>
        <family val="2"/>
      </rPr>
      <t>ort=</t>
    </r>
  </si>
  <si>
    <r>
      <t xml:space="preserve">f </t>
    </r>
    <r>
      <rPr>
        <i/>
        <sz val="12"/>
        <rFont val="Arial Narrow"/>
        <family val="2"/>
      </rPr>
      <t># =</t>
    </r>
  </si>
  <si>
    <t>N / (fck*Ac)=</t>
  </si>
  <si>
    <r>
      <t>f</t>
    </r>
    <r>
      <rPr>
        <i/>
        <vertAlign val="subscript"/>
        <sz val="14"/>
        <rFont val="Arial"/>
        <family val="2"/>
      </rPr>
      <t>ck</t>
    </r>
  </si>
  <si>
    <r>
      <t>g</t>
    </r>
    <r>
      <rPr>
        <vertAlign val="subscript"/>
        <sz val="14"/>
        <rFont val="Arial"/>
        <family val="2"/>
      </rPr>
      <t>mc</t>
    </r>
  </si>
  <si>
    <r>
      <t>f</t>
    </r>
    <r>
      <rPr>
        <i/>
        <vertAlign val="subscript"/>
        <sz val="14"/>
        <rFont val="Arial"/>
        <family val="2"/>
      </rPr>
      <t>yk</t>
    </r>
  </si>
  <si>
    <r>
      <t>f</t>
    </r>
    <r>
      <rPr>
        <i/>
        <vertAlign val="subscript"/>
        <sz val="14"/>
        <rFont val="Arial"/>
        <family val="2"/>
      </rPr>
      <t>u</t>
    </r>
  </si>
  <si>
    <r>
      <t>g</t>
    </r>
    <r>
      <rPr>
        <vertAlign val="subscript"/>
        <sz val="14"/>
        <rFont val="Arial"/>
        <family val="2"/>
      </rPr>
      <t>ms</t>
    </r>
  </si>
  <si>
    <r>
      <t>E</t>
    </r>
    <r>
      <rPr>
        <i/>
        <vertAlign val="subscript"/>
        <sz val="14"/>
        <rFont val="Arial"/>
        <family val="2"/>
      </rPr>
      <t>s</t>
    </r>
  </si>
  <si>
    <r>
      <t>e</t>
    </r>
    <r>
      <rPr>
        <vertAlign val="subscript"/>
        <sz val="14"/>
        <rFont val="Arial"/>
        <family val="2"/>
      </rPr>
      <t>sh</t>
    </r>
  </si>
  <si>
    <r>
      <t>e</t>
    </r>
    <r>
      <rPr>
        <vertAlign val="subscript"/>
        <sz val="14"/>
        <rFont val="Arial"/>
        <family val="2"/>
      </rPr>
      <t>su</t>
    </r>
  </si>
  <si>
    <r>
      <t>C</t>
    </r>
    <r>
      <rPr>
        <i/>
        <vertAlign val="subscript"/>
        <sz val="14"/>
        <rFont val="Arial"/>
        <family val="2"/>
      </rPr>
      <t>c</t>
    </r>
  </si>
  <si>
    <r>
      <t>f</t>
    </r>
    <r>
      <rPr>
        <vertAlign val="subscript"/>
        <sz val="12"/>
        <rFont val="MT Extra"/>
        <family val="1"/>
      </rPr>
      <t>l</t>
    </r>
  </si>
  <si>
    <t>Mr (kNm) =</t>
  </si>
  <si>
    <t>Material Properties</t>
  </si>
  <si>
    <t>R/C Cross-sectional Dimensions</t>
  </si>
  <si>
    <t>Longtidunal Reinforcement</t>
  </si>
  <si>
    <t>Longtidunal Reinforcement Quantities</t>
  </si>
  <si>
    <t>Concrete</t>
  </si>
  <si>
    <t>Axial</t>
  </si>
  <si>
    <t>Load</t>
  </si>
  <si>
    <t>(Pressure +)</t>
  </si>
  <si>
    <t>Hook</t>
  </si>
  <si>
    <t>trans.</t>
  </si>
  <si>
    <t>long.</t>
  </si>
  <si>
    <t>Stirrup Properties</t>
  </si>
  <si>
    <t>Area</t>
  </si>
  <si>
    <t>#</t>
  </si>
  <si>
    <t>No</t>
  </si>
  <si>
    <t>N (kN)</t>
  </si>
  <si>
    <t>Capacity of R/C for given strain</t>
  </si>
  <si>
    <r>
      <t xml:space="preserve"> e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</t>
    </r>
  </si>
  <si>
    <r>
      <t>e</t>
    </r>
    <r>
      <rPr>
        <vertAlign val="subscript"/>
        <sz val="14"/>
        <rFont val="Arial"/>
        <family val="2"/>
      </rPr>
      <t>c</t>
    </r>
  </si>
  <si>
    <r>
      <t xml:space="preserve">k </t>
    </r>
    <r>
      <rPr>
        <sz val="14"/>
        <rFont val="Arial Narrow"/>
        <family val="2"/>
      </rPr>
      <t>(rad/m)</t>
    </r>
  </si>
  <si>
    <t>Length</t>
  </si>
  <si>
    <t>strain</t>
  </si>
  <si>
    <r>
      <t>e</t>
    </r>
    <r>
      <rPr>
        <b/>
        <sz val="14"/>
        <color indexed="10"/>
        <rFont val="Arial"/>
        <family val="2"/>
      </rPr>
      <t>c</t>
    </r>
    <r>
      <rPr>
        <b/>
        <sz val="14"/>
        <color indexed="10"/>
        <rFont val="Symbol"/>
        <family val="1"/>
      </rPr>
      <t>=</t>
    </r>
  </si>
  <si>
    <t>STEEL</t>
  </si>
  <si>
    <t>CONC</t>
  </si>
  <si>
    <t>steel strain at the onset of strain-hardening of reinforcement</t>
  </si>
  <si>
    <t>Notations</t>
  </si>
  <si>
    <t xml:space="preserve">b: </t>
  </si>
  <si>
    <t>Cross-sectional width</t>
  </si>
  <si>
    <t xml:space="preserve">h: </t>
  </si>
  <si>
    <t>Cross-sectional height (height of cross-section in bending direction)</t>
  </si>
  <si>
    <t>Clear concrete cover</t>
  </si>
  <si>
    <t>Characteristic concrete compressive strength</t>
  </si>
  <si>
    <t>ultimate strain of reinforcing steel</t>
  </si>
  <si>
    <t>:space between transverse reinforcements</t>
  </si>
  <si>
    <r>
      <t>C</t>
    </r>
    <r>
      <rPr>
        <i/>
        <vertAlign val="subscript"/>
        <sz val="12"/>
        <rFont val="Arial"/>
        <family val="2"/>
      </rPr>
      <t>c</t>
    </r>
    <r>
      <rPr>
        <i/>
        <sz val="12"/>
        <rFont val="Arial"/>
        <family val="2"/>
      </rPr>
      <t xml:space="preserve">: </t>
    </r>
  </si>
  <si>
    <r>
      <t>f</t>
    </r>
    <r>
      <rPr>
        <i/>
        <vertAlign val="subscript"/>
        <sz val="12"/>
        <rFont val="Arial"/>
        <family val="2"/>
      </rPr>
      <t>ck</t>
    </r>
    <r>
      <rPr>
        <i/>
        <sz val="12"/>
        <rFont val="Arial"/>
        <family val="2"/>
      </rPr>
      <t xml:space="preserve">: </t>
    </r>
  </si>
  <si>
    <r>
      <t>f</t>
    </r>
    <r>
      <rPr>
        <i/>
        <vertAlign val="subscript"/>
        <sz val="12"/>
        <rFont val="Arial"/>
        <family val="2"/>
      </rPr>
      <t>yk</t>
    </r>
    <r>
      <rPr>
        <i/>
        <sz val="12"/>
        <rFont val="Arial"/>
        <family val="2"/>
      </rPr>
      <t>:</t>
    </r>
  </si>
  <si>
    <r>
      <t>E</t>
    </r>
    <r>
      <rPr>
        <i/>
        <vertAlign val="subscript"/>
        <sz val="12"/>
        <rFont val="Arial"/>
        <family val="2"/>
      </rPr>
      <t>s</t>
    </r>
    <r>
      <rPr>
        <i/>
        <sz val="12"/>
        <rFont val="Arial"/>
        <family val="2"/>
      </rPr>
      <t xml:space="preserve"> </t>
    </r>
  </si>
  <si>
    <r>
      <t>e</t>
    </r>
    <r>
      <rPr>
        <vertAlign val="subscript"/>
        <sz val="12"/>
        <rFont val="Arial"/>
        <family val="2"/>
      </rPr>
      <t>sh</t>
    </r>
    <r>
      <rPr>
        <sz val="12"/>
        <rFont val="Arial"/>
        <family val="2"/>
      </rPr>
      <t xml:space="preserve">:  </t>
    </r>
  </si>
  <si>
    <r>
      <t>e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 xml:space="preserve">: </t>
    </r>
  </si>
  <si>
    <r>
      <t>f</t>
    </r>
    <r>
      <rPr>
        <i/>
        <vertAlign val="subscript"/>
        <sz val="12"/>
        <rFont val="Arial"/>
        <family val="2"/>
      </rPr>
      <t>yw</t>
    </r>
    <r>
      <rPr>
        <i/>
        <sz val="12"/>
        <rFont val="Arial"/>
        <family val="2"/>
      </rPr>
      <t>:</t>
    </r>
  </si>
  <si>
    <r>
      <t>f</t>
    </r>
    <r>
      <rPr>
        <vertAlign val="subscript"/>
        <sz val="12"/>
        <rFont val="MT Extra"/>
        <family val="1"/>
      </rPr>
      <t>l</t>
    </r>
    <r>
      <rPr>
        <sz val="12"/>
        <rFont val="Arial"/>
        <family val="2"/>
      </rPr>
      <t xml:space="preserve">: </t>
    </r>
  </si>
  <si>
    <r>
      <t>f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: </t>
    </r>
  </si>
  <si>
    <t xml:space="preserve">s </t>
  </si>
  <si>
    <t>Distance measured center-to-center of perimeter hoop of a square or rectangular column</t>
  </si>
  <si>
    <r>
      <t>b</t>
    </r>
    <r>
      <rPr>
        <i/>
        <vertAlign val="subscript"/>
        <sz val="11"/>
        <rFont val="Arial"/>
        <family val="2"/>
      </rPr>
      <t>k</t>
    </r>
    <r>
      <rPr>
        <i/>
        <sz val="11"/>
        <rFont val="Arial"/>
        <family val="2"/>
      </rPr>
      <t>, h</t>
    </r>
    <r>
      <rPr>
        <i/>
        <vertAlign val="subscript"/>
        <sz val="11"/>
        <rFont val="Arial"/>
        <family val="2"/>
      </rPr>
      <t>k</t>
    </r>
    <r>
      <rPr>
        <i/>
        <sz val="11"/>
        <rFont val="Arial"/>
        <family val="2"/>
      </rPr>
      <t>:</t>
    </r>
  </si>
  <si>
    <r>
      <t>b'</t>
    </r>
    <r>
      <rPr>
        <i/>
        <vertAlign val="subscript"/>
        <sz val="11"/>
        <rFont val="Arial"/>
        <family val="2"/>
      </rPr>
      <t>k</t>
    </r>
    <r>
      <rPr>
        <i/>
        <sz val="11"/>
        <rFont val="Arial"/>
        <family val="2"/>
      </rPr>
      <t>, h'</t>
    </r>
    <r>
      <rPr>
        <i/>
        <vertAlign val="subscript"/>
        <sz val="11"/>
        <rFont val="Arial"/>
        <family val="2"/>
      </rPr>
      <t>k</t>
    </r>
    <r>
      <rPr>
        <i/>
        <sz val="11"/>
        <rFont val="Arial"/>
        <family val="2"/>
      </rPr>
      <t>:</t>
    </r>
  </si>
  <si>
    <t xml:space="preserve">Distance to </t>
  </si>
  <si>
    <t>Center</t>
  </si>
  <si>
    <t>Distance from</t>
  </si>
  <si>
    <t xml:space="preserve">d: </t>
  </si>
  <si>
    <t>Effective depth of tension steel measured from the extreme compression fiber to the centroid of tension steel</t>
  </si>
  <si>
    <r>
      <t>f</t>
    </r>
    <r>
      <rPr>
        <i/>
        <vertAlign val="subscript"/>
        <sz val="12"/>
        <rFont val="Arial"/>
        <family val="2"/>
      </rPr>
      <t>u</t>
    </r>
    <r>
      <rPr>
        <i/>
        <sz val="12"/>
        <rFont val="Arial"/>
        <family val="2"/>
      </rPr>
      <t>:</t>
    </r>
  </si>
  <si>
    <t>Ultimate stress of reinforcing steel</t>
  </si>
  <si>
    <t>Yield stress of reinforcing steel</t>
  </si>
  <si>
    <t>Modulus of elasticity of reinforcing steel</t>
  </si>
  <si>
    <t>Yield stress of stirrup reinforcing steel</t>
  </si>
  <si>
    <t>Diameter of longitudinal reinforcing steel</t>
  </si>
  <si>
    <t>Diameter of transverse reinforcing steel</t>
  </si>
  <si>
    <t>Number of hoops repetitious in the section</t>
  </si>
  <si>
    <t>ess:</t>
  </si>
  <si>
    <r>
      <t>r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: </t>
    </r>
  </si>
  <si>
    <t>Transverse reinforcement ratio</t>
  </si>
  <si>
    <t>Mr:</t>
  </si>
  <si>
    <r>
      <t>k</t>
    </r>
    <r>
      <rPr>
        <b/>
        <sz val="11"/>
        <rFont val="Arial"/>
        <family val="2"/>
      </rPr>
      <t xml:space="preserve"> (rad/m) =</t>
    </r>
  </si>
  <si>
    <t>k:</t>
  </si>
  <si>
    <t>Moment capacity of section</t>
  </si>
  <si>
    <t>Curvature capacity of section</t>
  </si>
  <si>
    <r>
      <t>C</t>
    </r>
    <r>
      <rPr>
        <sz val="12"/>
        <rFont val="Symbol"/>
        <family val="1"/>
      </rPr>
      <t>:</t>
    </r>
  </si>
  <si>
    <t>Depth of neutral axis measured from the extreme compression fiber</t>
  </si>
  <si>
    <r>
      <t>e</t>
    </r>
    <r>
      <rPr>
        <sz val="11"/>
        <rFont val="Arial"/>
        <family val="2"/>
      </rPr>
      <t>c</t>
    </r>
    <r>
      <rPr>
        <sz val="16"/>
        <rFont val="Symbol"/>
        <family val="1"/>
      </rPr>
      <t>:</t>
    </r>
  </si>
  <si>
    <t>strain in extreme compression fiber</t>
  </si>
  <si>
    <t>extreme compression fiber (mm)</t>
  </si>
  <si>
    <r>
      <t>Concrete       Strain</t>
    </r>
    <r>
      <rPr>
        <sz val="16"/>
        <rFont val="Symbol"/>
        <family val="1"/>
      </rPr>
      <t xml:space="preserve"> e</t>
    </r>
    <r>
      <rPr>
        <vertAlign val="subscript"/>
        <sz val="16"/>
        <rFont val="Arial"/>
        <family val="2"/>
      </rPr>
      <t xml:space="preserve">c </t>
    </r>
  </si>
  <si>
    <t>Reinforcement steel strain</t>
  </si>
  <si>
    <r>
      <t>ρ</t>
    </r>
    <r>
      <rPr>
        <i/>
        <vertAlign val="subscript"/>
        <sz val="12"/>
        <rFont val="Arial"/>
        <family val="2"/>
      </rPr>
      <t>l</t>
    </r>
    <r>
      <rPr>
        <i/>
        <sz val="12"/>
        <rFont val="Arial"/>
        <family val="2"/>
      </rPr>
      <t>=</t>
    </r>
  </si>
  <si>
    <t>C (mm) =</t>
  </si>
  <si>
    <t>Distance to Center(mm)</t>
  </si>
  <si>
    <t>Disto center for reinforcement (mm)</t>
  </si>
  <si>
    <r>
      <t xml:space="preserve">C </t>
    </r>
    <r>
      <rPr>
        <sz val="14"/>
        <rFont val="Arial"/>
        <family val="2"/>
      </rPr>
      <t>(mm)</t>
    </r>
  </si>
  <si>
    <r>
      <t xml:space="preserve">Moment-Curvature Analysis  </t>
    </r>
    <r>
      <rPr>
        <b/>
        <i/>
        <sz val="13.5"/>
        <rFont val="Arial"/>
        <family val="2"/>
      </rPr>
      <t xml:space="preserve">                                                                                              </t>
    </r>
    <r>
      <rPr>
        <i/>
        <sz val="12"/>
        <rFont val="Arial"/>
        <family val="2"/>
      </rPr>
      <t xml:space="preserve"> </t>
    </r>
    <r>
      <rPr>
        <i/>
        <sz val="13"/>
        <rFont val="Arial"/>
        <family val="2"/>
      </rPr>
      <t>This macro was prepared for the Leonardo Da Vinci Project: "Vocational Training in Assessment of Existing Structures". (Project No: CZ/11/LLP-LdV/TOI/134005)</t>
    </r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</si>
  <si>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</si>
  <si>
    <t>CZ/11/LLP-LdV/TOI/134005</t>
  </si>
  <si>
    <t>Vocational Training in Assessment of Existing Structures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</si>
</sst>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98" formatCode="0.0"/>
    <numFmt numFmtId="199" formatCode="0.000"/>
    <numFmt numFmtId="200" formatCode="0.0000000"/>
    <numFmt numFmtId="201" formatCode="0.0000"/>
    <numFmt numFmtId="202" formatCode="0.00000"/>
    <numFmt numFmtId="216" formatCode="0.0%"/>
    <numFmt numFmtId="224" formatCode="0.0000E+00"/>
  </numFmts>
  <fonts count="10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n"/>
      <family val="0"/>
    </font>
    <font>
      <sz val="20"/>
      <name val="Symbol"/>
      <family val="1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i/>
      <sz val="12"/>
      <name val="Arial"/>
      <family val="2"/>
    </font>
    <font>
      <sz val="14"/>
      <name val="Times New Roman Tur"/>
      <family val="1"/>
    </font>
    <font>
      <b/>
      <sz val="16"/>
      <name val="Symbol"/>
      <family val="1"/>
    </font>
    <font>
      <sz val="22"/>
      <name val="Symbol"/>
      <family val="1"/>
    </font>
    <font>
      <i/>
      <vertAlign val="subscript"/>
      <sz val="12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2"/>
      <name val="Arial"/>
      <family val="2"/>
    </font>
    <font>
      <i/>
      <sz val="12"/>
      <name val="Symbol"/>
      <family val="1"/>
    </font>
    <font>
      <i/>
      <sz val="12"/>
      <name val="Arial Narrow"/>
      <family val="2"/>
    </font>
    <font>
      <b/>
      <i/>
      <sz val="13.5"/>
      <name val="Arial"/>
      <family val="2"/>
    </font>
    <font>
      <i/>
      <sz val="14"/>
      <name val="Arial"/>
      <family val="2"/>
    </font>
    <font>
      <i/>
      <vertAlign val="subscript"/>
      <sz val="14"/>
      <name val="Arial"/>
      <family val="2"/>
    </font>
    <font>
      <sz val="14"/>
      <name val="Symbol"/>
      <family val="1"/>
    </font>
    <font>
      <vertAlign val="subscript"/>
      <sz val="14"/>
      <name val="Arial"/>
      <family val="2"/>
    </font>
    <font>
      <sz val="9"/>
      <name val="Arial"/>
      <family val="2"/>
    </font>
    <font>
      <vertAlign val="subscript"/>
      <sz val="12"/>
      <name val="MT Extra"/>
      <family val="1"/>
    </font>
    <font>
      <sz val="8"/>
      <name val="Tahoma"/>
      <family val="2"/>
    </font>
    <font>
      <b/>
      <sz val="11"/>
      <name val="Arial"/>
      <family val="2"/>
    </font>
    <font>
      <sz val="16"/>
      <name val="Symbol"/>
      <family val="1"/>
    </font>
    <font>
      <vertAlign val="subscript"/>
      <sz val="16"/>
      <name val="Arial"/>
      <family val="2"/>
    </font>
    <font>
      <b/>
      <sz val="14"/>
      <color indexed="10"/>
      <name val="Symbol"/>
      <family val="1"/>
    </font>
    <font>
      <b/>
      <sz val="14"/>
      <color indexed="10"/>
      <name val="Arial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4"/>
      <color indexed="8"/>
      <name val="Arial"/>
      <family val="2"/>
    </font>
    <font>
      <b/>
      <sz val="25"/>
      <color indexed="10"/>
      <name val="Symbol"/>
      <family val="1"/>
    </font>
    <font>
      <vertAlign val="subscript"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vertAlign val="subscript"/>
      <sz val="11"/>
      <name val="Arial"/>
      <family val="2"/>
    </font>
    <font>
      <i/>
      <sz val="9"/>
      <name val="Arial"/>
      <family val="2"/>
    </font>
    <font>
      <b/>
      <i/>
      <sz val="16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0"/>
      <color indexed="12"/>
      <name val="Arial CE"/>
      <family val="0"/>
    </font>
    <font>
      <sz val="14"/>
      <color indexed="12"/>
      <name val="Arial"/>
      <family val="2"/>
    </font>
    <font>
      <sz val="23.75"/>
      <color indexed="8"/>
      <name val="Arial"/>
      <family val="2"/>
    </font>
    <font>
      <sz val="18.5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00FF"/>
      <name val="Arial CE"/>
      <family val="0"/>
    </font>
    <font>
      <sz val="14"/>
      <color rgb="FF0000FF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indexed="41"/>
      </patternFill>
    </fill>
    <fill>
      <patternFill patternType="lightGray">
        <fgColor indexed="22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47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2" fontId="0" fillId="33" borderId="0" xfId="0" applyNumberFormat="1" applyFont="1" applyFill="1" applyBorder="1" applyAlignment="1" applyProtection="1">
      <alignment/>
      <protection locked="0"/>
    </xf>
    <xf numFmtId="2" fontId="5" fillId="33" borderId="0" xfId="0" applyNumberFormat="1" applyFont="1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 applyProtection="1">
      <alignment/>
      <protection locked="0"/>
    </xf>
    <xf numFmtId="2" fontId="7" fillId="33" borderId="0" xfId="0" applyNumberFormat="1" applyFont="1" applyFill="1" applyBorder="1" applyAlignment="1" applyProtection="1">
      <alignment horizontal="center"/>
      <protection locked="0"/>
    </xf>
    <xf numFmtId="200" fontId="17" fillId="33" borderId="0" xfId="0" applyNumberFormat="1" applyFont="1" applyFill="1" applyBorder="1" applyAlignment="1" applyProtection="1">
      <alignment/>
      <protection locked="0"/>
    </xf>
    <xf numFmtId="200" fontId="7" fillId="33" borderId="0" xfId="0" applyNumberFormat="1" applyFont="1" applyFill="1" applyBorder="1" applyAlignment="1" applyProtection="1">
      <alignment/>
      <protection locked="0"/>
    </xf>
    <xf numFmtId="224" fontId="0" fillId="33" borderId="0" xfId="0" applyNumberFormat="1" applyFill="1" applyBorder="1" applyAlignment="1" applyProtection="1">
      <alignment horizontal="right"/>
      <protection locked="0"/>
    </xf>
    <xf numFmtId="199" fontId="0" fillId="33" borderId="0" xfId="0" applyNumberFormat="1" applyFill="1" applyBorder="1" applyAlignment="1" applyProtection="1">
      <alignment/>
      <protection locked="0"/>
    </xf>
    <xf numFmtId="201" fontId="6" fillId="33" borderId="0" xfId="0" applyNumberFormat="1" applyFont="1" applyFill="1" applyBorder="1" applyAlignment="1" applyProtection="1">
      <alignment horizontal="right" vertical="center"/>
      <protection locked="0"/>
    </xf>
    <xf numFmtId="1" fontId="7" fillId="33" borderId="0" xfId="0" applyNumberFormat="1" applyFont="1" applyFill="1" applyBorder="1" applyAlignment="1" applyProtection="1">
      <alignment/>
      <protection locked="0"/>
    </xf>
    <xf numFmtId="199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202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34" borderId="11" xfId="0" applyNumberFormat="1" applyFont="1" applyFill="1" applyBorder="1" applyAlignment="1" applyProtection="1">
      <alignment horizontal="center"/>
      <protection hidden="1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2" fontId="10" fillId="35" borderId="13" xfId="0" applyNumberFormat="1" applyFont="1" applyFill="1" applyBorder="1" applyAlignment="1" applyProtection="1">
      <alignment horizontal="center"/>
      <protection locked="0"/>
    </xf>
    <xf numFmtId="2" fontId="2" fillId="35" borderId="14" xfId="0" applyNumberFormat="1" applyFont="1" applyFill="1" applyBorder="1" applyAlignment="1" applyProtection="1">
      <alignment horizontal="center"/>
      <protection locked="0"/>
    </xf>
    <xf numFmtId="2" fontId="2" fillId="35" borderId="15" xfId="0" applyNumberFormat="1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7" xfId="0" applyNumberFormat="1" applyFont="1" applyFill="1" applyBorder="1" applyAlignment="1" applyProtection="1">
      <alignment horizontal="center"/>
      <protection locked="0"/>
    </xf>
    <xf numFmtId="0" fontId="2" fillId="35" borderId="11" xfId="0" applyNumberFormat="1" applyFont="1" applyFill="1" applyBorder="1" applyAlignment="1" applyProtection="1">
      <alignment horizontal="center"/>
      <protection locked="0"/>
    </xf>
    <xf numFmtId="1" fontId="2" fillId="35" borderId="18" xfId="0" applyNumberFormat="1" applyFont="1" applyFill="1" applyBorder="1" applyAlignment="1" applyProtection="1">
      <alignment horizontal="center"/>
      <protection locked="0"/>
    </xf>
    <xf numFmtId="1" fontId="2" fillId="36" borderId="18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2" fillId="37" borderId="10" xfId="0" applyFont="1" applyFill="1" applyBorder="1" applyAlignment="1" applyProtection="1">
      <alignment horizontal="center"/>
      <protection hidden="1"/>
    </xf>
    <xf numFmtId="0" fontId="2" fillId="36" borderId="11" xfId="0" applyFont="1" applyFill="1" applyBorder="1" applyAlignment="1" applyProtection="1">
      <alignment horizontal="center" vertical="distributed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2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20" xfId="0" applyNumberFormat="1" applyFont="1" applyFill="1" applyBorder="1" applyAlignment="1" applyProtection="1">
      <alignment horizontal="center" vertical="center" wrapText="1"/>
      <protection hidden="1"/>
    </xf>
    <xf numFmtId="200" fontId="31" fillId="33" borderId="21" xfId="0" applyNumberFormat="1" applyFont="1" applyFill="1" applyBorder="1" applyAlignment="1" applyProtection="1">
      <alignment horizontal="center" vertical="center"/>
      <protection hidden="1"/>
    </xf>
    <xf numFmtId="2" fontId="47" fillId="33" borderId="21" xfId="0" applyNumberFormat="1" applyFont="1" applyFill="1" applyBorder="1" applyAlignment="1" applyProtection="1">
      <alignment horizontal="center" vertical="center"/>
      <protection hidden="1"/>
    </xf>
    <xf numFmtId="2" fontId="31" fillId="33" borderId="21" xfId="0" applyNumberFormat="1" applyFont="1" applyFill="1" applyBorder="1" applyAlignment="1" applyProtection="1">
      <alignment horizontal="center" vertical="center"/>
      <protection hidden="1"/>
    </xf>
    <xf numFmtId="2" fontId="49" fillId="33" borderId="21" xfId="0" applyNumberFormat="1" applyFont="1" applyFill="1" applyBorder="1" applyAlignment="1" applyProtection="1">
      <alignment horizontal="center" vertical="center"/>
      <protection hidden="1"/>
    </xf>
    <xf numFmtId="2" fontId="12" fillId="33" borderId="0" xfId="0" applyNumberFormat="1" applyFont="1" applyFill="1" applyBorder="1" applyAlignment="1" applyProtection="1">
      <alignment horizontal="center" wrapText="1"/>
      <protection hidden="1"/>
    </xf>
    <xf numFmtId="1" fontId="0" fillId="33" borderId="0" xfId="0" applyNumberFormat="1" applyFill="1" applyBorder="1" applyAlignment="1" applyProtection="1">
      <alignment/>
      <protection hidden="1"/>
    </xf>
    <xf numFmtId="1" fontId="0" fillId="33" borderId="0" xfId="0" applyNumberFormat="1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199" fontId="1" fillId="33" borderId="24" xfId="0" applyNumberFormat="1" applyFont="1" applyFill="1" applyBorder="1" applyAlignment="1" applyProtection="1">
      <alignment horizontal="center"/>
      <protection hidden="1"/>
    </xf>
    <xf numFmtId="199" fontId="44" fillId="33" borderId="25" xfId="0" applyNumberFormat="1" applyFont="1" applyFill="1" applyBorder="1" applyAlignment="1" applyProtection="1">
      <alignment horizontal="center"/>
      <protection hidden="1"/>
    </xf>
    <xf numFmtId="2" fontId="12" fillId="33" borderId="21" xfId="0" applyNumberFormat="1" applyFont="1" applyFill="1" applyBorder="1" applyAlignment="1" applyProtection="1">
      <alignment horizontal="center" wrapText="1"/>
      <protection hidden="1"/>
    </xf>
    <xf numFmtId="0" fontId="8" fillId="33" borderId="21" xfId="0" applyFont="1" applyFill="1" applyBorder="1" applyAlignment="1" applyProtection="1">
      <alignment horizontal="center"/>
      <protection hidden="1"/>
    </xf>
    <xf numFmtId="1" fontId="1" fillId="33" borderId="0" xfId="0" applyNumberFormat="1" applyFont="1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1" fillId="33" borderId="23" xfId="0" applyFon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 horizontal="right"/>
      <protection hidden="1"/>
    </xf>
    <xf numFmtId="1" fontId="0" fillId="33" borderId="0" xfId="0" applyNumberFormat="1" applyFill="1" applyBorder="1" applyAlignment="1" applyProtection="1">
      <alignment horizontal="right"/>
      <protection hidden="1"/>
    </xf>
    <xf numFmtId="0" fontId="0" fillId="33" borderId="22" xfId="0" applyFill="1" applyBorder="1" applyAlignment="1" applyProtection="1">
      <alignment horizontal="right"/>
      <protection hidden="1"/>
    </xf>
    <xf numFmtId="0" fontId="0" fillId="33" borderId="23" xfId="0" applyFill="1" applyBorder="1" applyAlignment="1" applyProtection="1">
      <alignment horizontal="right"/>
      <protection hidden="1"/>
    </xf>
    <xf numFmtId="202" fontId="43" fillId="36" borderId="2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98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9" fillId="0" borderId="27" xfId="0" applyFont="1" applyFill="1" applyBorder="1" applyAlignment="1" applyProtection="1">
      <alignment horizontal="center"/>
      <protection hidden="1"/>
    </xf>
    <xf numFmtId="0" fontId="29" fillId="0" borderId="28" xfId="0" applyFont="1" applyFill="1" applyBorder="1" applyAlignment="1" applyProtection="1">
      <alignment horizontal="center"/>
      <protection hidden="1"/>
    </xf>
    <xf numFmtId="200" fontId="36" fillId="37" borderId="21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29" xfId="0" applyFont="1" applyFill="1" applyBorder="1" applyAlignment="1" applyProtection="1">
      <alignment horizontal="center"/>
      <protection hidden="1"/>
    </xf>
    <xf numFmtId="0" fontId="29" fillId="0" borderId="30" xfId="0" applyFont="1" applyFill="1" applyBorder="1" applyAlignment="1" applyProtection="1">
      <alignment horizontal="center"/>
      <protection hidden="1"/>
    </xf>
    <xf numFmtId="0" fontId="31" fillId="0" borderId="28" xfId="0" applyFont="1" applyFill="1" applyBorder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200" fontId="20" fillId="37" borderId="2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2" fillId="35" borderId="15" xfId="0" applyNumberFormat="1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26" fillId="37" borderId="39" xfId="0" applyFont="1" applyFill="1" applyBorder="1" applyAlignment="1" applyProtection="1">
      <alignment horizontal="center" vertical="justify"/>
      <protection hidden="1"/>
    </xf>
    <xf numFmtId="200" fontId="25" fillId="0" borderId="0" xfId="0" applyNumberFormat="1" applyFont="1" applyFill="1" applyBorder="1" applyAlignment="1" applyProtection="1">
      <alignment horizontal="center" vertical="justify"/>
      <protection hidden="1"/>
    </xf>
    <xf numFmtId="198" fontId="25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6" fillId="0" borderId="0" xfId="0" applyFont="1" applyAlignment="1" applyProtection="1">
      <alignment horizontal="center"/>
      <protection hidden="1"/>
    </xf>
    <xf numFmtId="20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40" xfId="0" applyFont="1" applyFill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4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33" fillId="0" borderId="40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199" fontId="0" fillId="0" borderId="43" xfId="0" applyNumberFormat="1" applyFont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 wrapText="1"/>
      <protection hidden="1"/>
    </xf>
    <xf numFmtId="0" fontId="0" fillId="0" borderId="40" xfId="0" applyFont="1" applyFill="1" applyBorder="1" applyAlignment="1" applyProtection="1" quotePrefix="1">
      <alignment horizontal="center" wrapText="1"/>
      <protection hidden="1"/>
    </xf>
    <xf numFmtId="1" fontId="2" fillId="33" borderId="35" xfId="0" applyNumberFormat="1" applyFont="1" applyFill="1" applyBorder="1" applyAlignment="1" applyProtection="1">
      <alignment horizontal="center"/>
      <protection hidden="1"/>
    </xf>
    <xf numFmtId="1" fontId="2" fillId="33" borderId="12" xfId="0" applyNumberFormat="1" applyFont="1" applyFill="1" applyBorder="1" applyAlignment="1" applyProtection="1">
      <alignment horizontal="center"/>
      <protection hidden="1"/>
    </xf>
    <xf numFmtId="2" fontId="2" fillId="38" borderId="44" xfId="0" applyNumberFormat="1" applyFont="1" applyFill="1" applyBorder="1" applyAlignment="1" applyProtection="1">
      <alignment/>
      <protection hidden="1"/>
    </xf>
    <xf numFmtId="198" fontId="0" fillId="37" borderId="45" xfId="0" applyNumberFormat="1" applyFont="1" applyFill="1" applyBorder="1" applyAlignment="1" applyProtection="1">
      <alignment/>
      <protection hidden="1"/>
    </xf>
    <xf numFmtId="199" fontId="0" fillId="0" borderId="40" xfId="0" applyNumberFormat="1" applyFont="1" applyFill="1" applyBorder="1" applyAlignment="1" applyProtection="1">
      <alignment/>
      <protection hidden="1"/>
    </xf>
    <xf numFmtId="2" fontId="2" fillId="38" borderId="12" xfId="0" applyNumberFormat="1" applyFont="1" applyFill="1" applyBorder="1" applyAlignment="1" applyProtection="1">
      <alignment/>
      <protection hidden="1"/>
    </xf>
    <xf numFmtId="198" fontId="0" fillId="37" borderId="46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99" fontId="0" fillId="0" borderId="15" xfId="0" applyNumberFormat="1" applyFont="1" applyBorder="1" applyAlignment="1" applyProtection="1">
      <alignment horizontal="center"/>
      <protection hidden="1"/>
    </xf>
    <xf numFmtId="1" fontId="2" fillId="33" borderId="17" xfId="0" applyNumberFormat="1" applyFont="1" applyFill="1" applyBorder="1" applyAlignment="1" applyProtection="1">
      <alignment horizontal="center"/>
      <protection hidden="1"/>
    </xf>
    <xf numFmtId="1" fontId="2" fillId="33" borderId="11" xfId="0" applyNumberFormat="1" applyFont="1" applyFill="1" applyBorder="1" applyAlignment="1" applyProtection="1">
      <alignment horizontal="center"/>
      <protection hidden="1"/>
    </xf>
    <xf numFmtId="2" fontId="2" fillId="38" borderId="11" xfId="0" applyNumberFormat="1" applyFont="1" applyFill="1" applyBorder="1" applyAlignment="1" applyProtection="1">
      <alignment/>
      <protection hidden="1"/>
    </xf>
    <xf numFmtId="198" fontId="0" fillId="37" borderId="47" xfId="0" applyNumberFormat="1" applyFont="1" applyFill="1" applyBorder="1" applyAlignment="1" applyProtection="1">
      <alignment/>
      <protection hidden="1"/>
    </xf>
    <xf numFmtId="1" fontId="2" fillId="0" borderId="40" xfId="0" applyNumberFormat="1" applyFont="1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/>
      <protection hidden="1"/>
    </xf>
    <xf numFmtId="0" fontId="2" fillId="36" borderId="11" xfId="0" applyFont="1" applyFill="1" applyBorder="1" applyAlignment="1" applyProtection="1">
      <alignment horizontal="right"/>
      <protection hidden="1"/>
    </xf>
    <xf numFmtId="10" fontId="2" fillId="33" borderId="11" xfId="0" applyNumberFormat="1" applyFont="1" applyFill="1" applyBorder="1" applyAlignment="1" applyProtection="1">
      <alignment horizontal="center"/>
      <protection hidden="1"/>
    </xf>
    <xf numFmtId="216" fontId="2" fillId="0" borderId="40" xfId="0" applyNumberFormat="1" applyFont="1" applyFill="1" applyBorder="1" applyAlignment="1" applyProtection="1">
      <alignment horizontal="left"/>
      <protection hidden="1"/>
    </xf>
    <xf numFmtId="1" fontId="2" fillId="0" borderId="25" xfId="0" applyNumberFormat="1" applyFont="1" applyFill="1" applyBorder="1" applyAlignment="1" applyProtection="1">
      <alignment horizontal="center"/>
      <protection hidden="1"/>
    </xf>
    <xf numFmtId="202" fontId="0" fillId="0" borderId="15" xfId="0" applyNumberFormat="1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/>
      <protection hidden="1"/>
    </xf>
    <xf numFmtId="0" fontId="8" fillId="0" borderId="34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4" xfId="0" applyFont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99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right"/>
      <protection hidden="1"/>
    </xf>
    <xf numFmtId="201" fontId="5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98" fontId="19" fillId="33" borderId="0" xfId="0" applyNumberFormat="1" applyFont="1" applyFill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53" fillId="0" borderId="0" xfId="0" applyFont="1" applyFill="1" applyBorder="1" applyAlignment="1" applyProtection="1">
      <alignment horizontal="left"/>
      <protection hidden="1"/>
    </xf>
    <xf numFmtId="0" fontId="2" fillId="0" borderId="43" xfId="0" applyFont="1" applyFill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54" fillId="0" borderId="0" xfId="0" applyFont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198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8" fillId="0" borderId="43" xfId="0" applyFont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3" fillId="0" borderId="40" xfId="0" applyFont="1" applyFill="1" applyBorder="1" applyAlignment="1" applyProtection="1">
      <alignment horizontal="right"/>
      <protection hidden="1"/>
    </xf>
    <xf numFmtId="198" fontId="0" fillId="0" borderId="0" xfId="0" applyNumberFormat="1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8" fillId="0" borderId="43" xfId="0" applyFont="1" applyFill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54" fillId="0" borderId="0" xfId="0" applyFont="1" applyFill="1" applyBorder="1" applyAlignment="1" applyProtection="1">
      <alignment horizontal="left" vertical="center"/>
      <protection hidden="1"/>
    </xf>
    <xf numFmtId="0" fontId="8" fillId="0" borderId="43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/>
      <protection hidden="1"/>
    </xf>
    <xf numFmtId="0" fontId="33" fillId="0" borderId="46" xfId="0" applyFont="1" applyBorder="1" applyAlignment="1" applyProtection="1">
      <alignment horizontal="center" vertical="center" wrapText="1"/>
      <protection hidden="1"/>
    </xf>
    <xf numFmtId="199" fontId="0" fillId="33" borderId="0" xfId="0" applyNumberFormat="1" applyFill="1" applyBorder="1" applyAlignment="1" applyProtection="1">
      <alignment horizontal="center"/>
      <protection locked="0"/>
    </xf>
    <xf numFmtId="200" fontId="0" fillId="33" borderId="0" xfId="0" applyNumberFormat="1" applyFill="1" applyBorder="1" applyAlignment="1" applyProtection="1">
      <alignment horizontal="center"/>
      <protection locked="0"/>
    </xf>
    <xf numFmtId="199" fontId="0" fillId="33" borderId="0" xfId="0" applyNumberFormat="1" applyFont="1" applyFill="1" applyBorder="1" applyAlignment="1" applyProtection="1">
      <alignment/>
      <protection locked="0"/>
    </xf>
    <xf numFmtId="199" fontId="1" fillId="33" borderId="0" xfId="0" applyNumberFormat="1" applyFont="1" applyFill="1" applyBorder="1" applyAlignment="1" applyProtection="1">
      <alignment horizontal="center"/>
      <protection locked="0"/>
    </xf>
    <xf numFmtId="202" fontId="0" fillId="33" borderId="0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200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99" fontId="0" fillId="33" borderId="0" xfId="0" applyNumberFormat="1" applyFill="1" applyBorder="1" applyAlignment="1" applyProtection="1">
      <alignment horizontal="left"/>
      <protection locked="0"/>
    </xf>
    <xf numFmtId="199" fontId="5" fillId="33" borderId="0" xfId="0" applyNumberFormat="1" applyFont="1" applyFill="1" applyBorder="1" applyAlignment="1" applyProtection="1">
      <alignment/>
      <protection locked="0"/>
    </xf>
    <xf numFmtId="199" fontId="6" fillId="33" borderId="0" xfId="0" applyNumberFormat="1" applyFont="1" applyFill="1" applyBorder="1" applyAlignment="1" applyProtection="1">
      <alignment horizontal="right"/>
      <protection locked="0"/>
    </xf>
    <xf numFmtId="199" fontId="5" fillId="33" borderId="0" xfId="0" applyNumberFormat="1" applyFont="1" applyFill="1" applyBorder="1" applyAlignment="1" applyProtection="1">
      <alignment wrapText="1"/>
      <protection locked="0"/>
    </xf>
    <xf numFmtId="199" fontId="6" fillId="33" borderId="0" xfId="0" applyNumberFormat="1" applyFont="1" applyFill="1" applyBorder="1" applyAlignment="1" applyProtection="1">
      <alignment/>
      <protection locked="0"/>
    </xf>
    <xf numFmtId="2" fontId="5" fillId="33" borderId="0" xfId="0" applyNumberFormat="1" applyFont="1" applyFill="1" applyBorder="1" applyAlignment="1" applyProtection="1">
      <alignment/>
      <protection locked="0"/>
    </xf>
    <xf numFmtId="2" fontId="5" fillId="33" borderId="0" xfId="0" applyNumberFormat="1" applyFont="1" applyFill="1" applyBorder="1" applyAlignment="1" applyProtection="1">
      <alignment horizontal="right"/>
      <protection locked="0"/>
    </xf>
    <xf numFmtId="202" fontId="0" fillId="33" borderId="0" xfId="0" applyNumberFormat="1" applyFill="1" applyBorder="1" applyAlignment="1" applyProtection="1">
      <alignment horizontal="right"/>
      <protection locked="0"/>
    </xf>
    <xf numFmtId="200" fontId="6" fillId="33" borderId="0" xfId="0" applyNumberFormat="1" applyFont="1" applyFill="1" applyBorder="1" applyAlignment="1" applyProtection="1">
      <alignment/>
      <protection locked="0"/>
    </xf>
    <xf numFmtId="199" fontId="0" fillId="33" borderId="0" xfId="0" applyNumberFormat="1" applyFill="1" applyBorder="1" applyAlignment="1" applyProtection="1">
      <alignment horizontal="right"/>
      <protection locked="0"/>
    </xf>
    <xf numFmtId="2" fontId="0" fillId="33" borderId="0" xfId="0" applyNumberFormat="1" applyFill="1" applyBorder="1" applyAlignment="1" applyProtection="1">
      <alignment horizontal="right"/>
      <protection locked="0"/>
    </xf>
    <xf numFmtId="200" fontId="0" fillId="33" borderId="0" xfId="0" applyNumberFormat="1" applyFill="1" applyBorder="1" applyAlignment="1" applyProtection="1">
      <alignment horizontal="right"/>
      <protection locked="0"/>
    </xf>
    <xf numFmtId="216" fontId="2" fillId="37" borderId="49" xfId="0" applyNumberFormat="1" applyFont="1" applyFill="1" applyBorder="1" applyAlignment="1" applyProtection="1">
      <alignment horizontal="center"/>
      <protection hidden="1"/>
    </xf>
    <xf numFmtId="1" fontId="56" fillId="37" borderId="39" xfId="0" applyNumberFormat="1" applyFont="1" applyFill="1" applyBorder="1" applyAlignment="1" applyProtection="1">
      <alignment horizontal="right"/>
      <protection hidden="1"/>
    </xf>
    <xf numFmtId="0" fontId="26" fillId="0" borderId="35" xfId="0" applyFont="1" applyBorder="1" applyAlignment="1" applyProtection="1">
      <alignment horizontal="right" vertical="justify"/>
      <protection hidden="1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left" vertical="top" wrapText="1"/>
      <protection hidden="1"/>
    </xf>
    <xf numFmtId="0" fontId="53" fillId="0" borderId="43" xfId="0" applyFont="1" applyBorder="1" applyAlignment="1" applyProtection="1">
      <alignment horizontal="left" vertical="top" wrapText="1"/>
      <protection hidden="1"/>
    </xf>
    <xf numFmtId="0" fontId="33" fillId="0" borderId="18" xfId="0" applyFont="1" applyBorder="1" applyAlignment="1" applyProtection="1">
      <alignment horizontal="center" vertical="center" wrapText="1"/>
      <protection hidden="1"/>
    </xf>
    <xf numFmtId="0" fontId="33" fillId="0" borderId="37" xfId="0" applyFont="1" applyBorder="1" applyAlignment="1" applyProtection="1">
      <alignment horizontal="center" vertical="center" wrapText="1"/>
      <protection hidden="1"/>
    </xf>
    <xf numFmtId="0" fontId="18" fillId="0" borderId="50" xfId="0" applyFont="1" applyFill="1" applyBorder="1" applyAlignment="1" applyProtection="1">
      <alignment horizontal="center"/>
      <protection hidden="1"/>
    </xf>
    <xf numFmtId="0" fontId="18" fillId="0" borderId="51" xfId="0" applyFont="1" applyFill="1" applyBorder="1" applyAlignment="1" applyProtection="1">
      <alignment horizontal="center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center"/>
      <protection hidden="1"/>
    </xf>
    <xf numFmtId="0" fontId="50" fillId="0" borderId="20" xfId="0" applyFont="1" applyBorder="1" applyAlignment="1" applyProtection="1">
      <alignment horizontal="center" vertical="center"/>
      <protection hidden="1"/>
    </xf>
    <xf numFmtId="0" fontId="39" fillId="0" borderId="40" xfId="0" applyFont="1" applyBorder="1" applyAlignment="1" applyProtection="1">
      <alignment horizontal="center" vertical="center"/>
      <protection hidden="1"/>
    </xf>
    <xf numFmtId="0" fontId="39" fillId="0" borderId="25" xfId="0" applyFont="1" applyBorder="1" applyAlignment="1" applyProtection="1">
      <alignment horizontal="center" vertical="center"/>
      <protection hidden="1"/>
    </xf>
    <xf numFmtId="202" fontId="36" fillId="39" borderId="41" xfId="47" applyNumberFormat="1" applyFont="1" applyFill="1" applyBorder="1" applyAlignment="1" applyProtection="1">
      <alignment horizontal="center" vertical="center"/>
      <protection locked="0"/>
    </xf>
    <xf numFmtId="202" fontId="36" fillId="39" borderId="43" xfId="47" applyNumberFormat="1" applyFont="1" applyFill="1" applyBorder="1" applyAlignment="1" applyProtection="1">
      <alignment horizontal="center" vertical="center"/>
      <protection locked="0"/>
    </xf>
    <xf numFmtId="202" fontId="36" fillId="39" borderId="15" xfId="47" applyNumberFormat="1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/>
      <protection hidden="1"/>
    </xf>
    <xf numFmtId="0" fontId="57" fillId="0" borderId="19" xfId="0" applyFont="1" applyBorder="1" applyAlignment="1" applyProtection="1">
      <alignment horizontal="center" vertical="top" textRotation="90" wrapText="1"/>
      <protection hidden="1"/>
    </xf>
    <xf numFmtId="0" fontId="28" fillId="0" borderId="48" xfId="0" applyFont="1" applyBorder="1" applyAlignment="1" applyProtection="1">
      <alignment horizontal="center" vertical="top" textRotation="90" wrapText="1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center" vertical="center" wrapText="1"/>
      <protection/>
    </xf>
    <xf numFmtId="0" fontId="98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_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0.999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'Calc.'!$B$3:$B$43</c:f>
              <c:numCache>
                <c:ptCount val="41"/>
                <c:pt idx="0">
                  <c:v>0.003</c:v>
                </c:pt>
                <c:pt idx="1">
                  <c:v>0.002693246362479927</c:v>
                </c:pt>
                <c:pt idx="2">
                  <c:v>0.002079739087439784</c:v>
                </c:pt>
                <c:pt idx="3">
                  <c:v>0.0014662318123996399</c:v>
                </c:pt>
                <c:pt idx="4">
                  <c:v>0.0008527245373594963</c:v>
                </c:pt>
                <c:pt idx="5">
                  <c:v>0.00023921726231935266</c:v>
                </c:pt>
                <c:pt idx="6">
                  <c:v>-0.00037429001272079094</c:v>
                </c:pt>
                <c:pt idx="7">
                  <c:v>-0.0009877972877609345</c:v>
                </c:pt>
                <c:pt idx="8">
                  <c:v>-0.001601304562801078</c:v>
                </c:pt>
                <c:pt idx="9">
                  <c:v>-0.002214811837841222</c:v>
                </c:pt>
                <c:pt idx="10">
                  <c:v>-0.0028283191128813654</c:v>
                </c:pt>
                <c:pt idx="11">
                  <c:v>-0.0034418263879215094</c:v>
                </c:pt>
                <c:pt idx="12">
                  <c:v>-0.004055333662961653</c:v>
                </c:pt>
                <c:pt idx="13">
                  <c:v>-0.0046688409380017965</c:v>
                </c:pt>
                <c:pt idx="14">
                  <c:v>-0.00528234821304194</c:v>
                </c:pt>
                <c:pt idx="15">
                  <c:v>-0.005895855488082084</c:v>
                </c:pt>
                <c:pt idx="16">
                  <c:v>-0.006509362763122227</c:v>
                </c:pt>
                <c:pt idx="17">
                  <c:v>-0.007122870038162372</c:v>
                </c:pt>
                <c:pt idx="18">
                  <c:v>-0.007736377313202515</c:v>
                </c:pt>
                <c:pt idx="19">
                  <c:v>-0.008349884588242658</c:v>
                </c:pt>
                <c:pt idx="20">
                  <c:v>-0.008963391863282802</c:v>
                </c:pt>
                <c:pt idx="21">
                  <c:v>-0.009576899138322945</c:v>
                </c:pt>
                <c:pt idx="22">
                  <c:v>-0.01019040641336309</c:v>
                </c:pt>
                <c:pt idx="23">
                  <c:v>-0.010803913688403234</c:v>
                </c:pt>
                <c:pt idx="24">
                  <c:v>-0.011417420963443376</c:v>
                </c:pt>
                <c:pt idx="25">
                  <c:v>-0.01203092823848352</c:v>
                </c:pt>
                <c:pt idx="26">
                  <c:v>-0.012644435513523664</c:v>
                </c:pt>
                <c:pt idx="27">
                  <c:v>-0.013257942788563806</c:v>
                </c:pt>
                <c:pt idx="28">
                  <c:v>-0.01387145006360395</c:v>
                </c:pt>
                <c:pt idx="29">
                  <c:v>-0.014484957338644095</c:v>
                </c:pt>
                <c:pt idx="30">
                  <c:v>-0.015098464613684238</c:v>
                </c:pt>
                <c:pt idx="31">
                  <c:v>-0.015711971888724384</c:v>
                </c:pt>
                <c:pt idx="32">
                  <c:v>-0.016325479163764523</c:v>
                </c:pt>
                <c:pt idx="33">
                  <c:v>-0.016938986438804673</c:v>
                </c:pt>
                <c:pt idx="34">
                  <c:v>-0.017552493713844812</c:v>
                </c:pt>
                <c:pt idx="35">
                  <c:v>-0.018166000988884958</c:v>
                </c:pt>
                <c:pt idx="36">
                  <c:v>-0.0187795082639251</c:v>
                </c:pt>
                <c:pt idx="37">
                  <c:v>-0.019393015538965247</c:v>
                </c:pt>
                <c:pt idx="38">
                  <c:v>-0.02000652281400539</c:v>
                </c:pt>
                <c:pt idx="39">
                  <c:v>-0.020620030089045532</c:v>
                </c:pt>
                <c:pt idx="40">
                  <c:v>-0.021233537364085675</c:v>
                </c:pt>
              </c:numCache>
            </c:numRef>
          </c:xVal>
          <c:yVal>
            <c:numRef>
              <c:f>'Calc.'!$A$3:$A$43</c:f>
              <c:numCache>
                <c:ptCount val="41"/>
                <c:pt idx="0">
                  <c:v>200</c:v>
                </c:pt>
                <c:pt idx="1">
                  <c:v>194.87179487179486</c:v>
                </c:pt>
                <c:pt idx="2">
                  <c:v>184.61538461538458</c:v>
                </c:pt>
                <c:pt idx="3">
                  <c:v>174.35897435897434</c:v>
                </c:pt>
                <c:pt idx="4">
                  <c:v>164.1025641025641</c:v>
                </c:pt>
                <c:pt idx="5">
                  <c:v>153.84615384615384</c:v>
                </c:pt>
                <c:pt idx="6">
                  <c:v>143.5897435897436</c:v>
                </c:pt>
                <c:pt idx="7">
                  <c:v>133.33333333333331</c:v>
                </c:pt>
                <c:pt idx="8">
                  <c:v>123.07692307692307</c:v>
                </c:pt>
                <c:pt idx="9">
                  <c:v>112.82051282051282</c:v>
                </c:pt>
                <c:pt idx="10">
                  <c:v>102.56410256410255</c:v>
                </c:pt>
                <c:pt idx="11">
                  <c:v>92.30769230769229</c:v>
                </c:pt>
                <c:pt idx="12">
                  <c:v>82.05128205128204</c:v>
                </c:pt>
                <c:pt idx="13">
                  <c:v>71.7948717948718</c:v>
                </c:pt>
                <c:pt idx="14">
                  <c:v>61.53846153846153</c:v>
                </c:pt>
                <c:pt idx="15">
                  <c:v>51.28205128205128</c:v>
                </c:pt>
                <c:pt idx="16">
                  <c:v>41.02564102564102</c:v>
                </c:pt>
                <c:pt idx="17">
                  <c:v>30.769230769230766</c:v>
                </c:pt>
                <c:pt idx="18">
                  <c:v>20.51282051282051</c:v>
                </c:pt>
                <c:pt idx="19">
                  <c:v>10.256410256410255</c:v>
                </c:pt>
                <c:pt idx="20">
                  <c:v>-9.107298248878237E-16</c:v>
                </c:pt>
                <c:pt idx="21">
                  <c:v>-10.256410256410257</c:v>
                </c:pt>
                <c:pt idx="22">
                  <c:v>-20.512820512820515</c:v>
                </c:pt>
                <c:pt idx="23">
                  <c:v>-30.76923076923077</c:v>
                </c:pt>
                <c:pt idx="24">
                  <c:v>-41.02564102564103</c:v>
                </c:pt>
                <c:pt idx="25">
                  <c:v>-51.282051282051285</c:v>
                </c:pt>
                <c:pt idx="26">
                  <c:v>-61.53846153846154</c:v>
                </c:pt>
                <c:pt idx="27">
                  <c:v>-71.7948717948718</c:v>
                </c:pt>
                <c:pt idx="28">
                  <c:v>-82.05128205128206</c:v>
                </c:pt>
                <c:pt idx="29">
                  <c:v>-92.30769230769232</c:v>
                </c:pt>
                <c:pt idx="30">
                  <c:v>-102.56410256410257</c:v>
                </c:pt>
                <c:pt idx="31">
                  <c:v>-112.82051282051283</c:v>
                </c:pt>
                <c:pt idx="32">
                  <c:v>-123.07692307692308</c:v>
                </c:pt>
                <c:pt idx="33">
                  <c:v>-133.33333333333334</c:v>
                </c:pt>
                <c:pt idx="34">
                  <c:v>-143.5897435897436</c:v>
                </c:pt>
                <c:pt idx="35">
                  <c:v>-153.84615384615384</c:v>
                </c:pt>
                <c:pt idx="36">
                  <c:v>-164.10256410256412</c:v>
                </c:pt>
                <c:pt idx="37">
                  <c:v>-174.35897435897436</c:v>
                </c:pt>
                <c:pt idx="38">
                  <c:v>-184.61538461538464</c:v>
                </c:pt>
                <c:pt idx="39">
                  <c:v>-194.8717948717949</c:v>
                </c:pt>
                <c:pt idx="40">
                  <c:v>-205.12820512820514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Sheet1!$J$26</c:f>
              <c:strCache>
                <c:ptCount val="1"/>
                <c:pt idx="0">
                  <c:v>ec= 0.003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Sheet1!$K$26:$K$27</c:f>
              <c:numCache/>
            </c:numRef>
          </c:xVal>
          <c:yVal>
            <c:numRef>
              <c:f>Sheet1!$L$26:$L$27</c:f>
              <c:numCache/>
            </c:numRef>
          </c:yVal>
          <c:smooth val="0"/>
        </c:ser>
        <c:ser>
          <c:idx val="12"/>
          <c:order val="2"/>
          <c:tx>
            <c:strRef>
              <c:f>Sheet1!$N$26</c:f>
              <c:strCache>
                <c:ptCount val="1"/>
                <c:pt idx="0">
                  <c:v>ec= -0.021234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Sheet1!$O$26:$O$27</c:f>
              <c:numCache/>
            </c:numRef>
          </c:xVal>
          <c:yVal>
            <c:numRef>
              <c:f>Sheet1!$P$26:$P$27</c:f>
              <c:numCache/>
            </c:numRef>
          </c:yVal>
          <c:smooth val="0"/>
        </c:ser>
        <c:ser>
          <c:idx val="1"/>
          <c:order val="3"/>
          <c:tx>
            <c:strRef>
              <c:f>Sheet1!$J$15</c:f>
              <c:strCache>
                <c:ptCount val="1"/>
                <c:pt idx="0">
                  <c:v>es1= 0.000908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Sheet1!$K$15:$K$16</c:f>
              <c:numCache/>
            </c:numRef>
          </c:xVal>
          <c:yVal>
            <c:numRef>
              <c:f>Sheet1!$L$15:$L$16</c:f>
              <c:numCache/>
            </c:numRef>
          </c:yVal>
          <c:smooth val="0"/>
        </c:ser>
        <c:ser>
          <c:idx val="2"/>
          <c:order val="4"/>
          <c:tx>
            <c:strRef>
              <c:f>Sheet1!$J$17</c:f>
              <c:strCache>
                <c:ptCount val="1"/>
                <c:pt idx="0">
                  <c:v>es2= -0.018834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Sheet1!$K$17:$K$18</c:f>
              <c:numCache/>
            </c:numRef>
          </c:xVal>
          <c:yVal>
            <c:numRef>
              <c:f>Sheet1!$L$17:$L$18</c:f>
              <c:numCache/>
            </c:numRef>
          </c:yVal>
          <c:smooth val="0"/>
        </c:ser>
        <c:ser>
          <c:idx val="3"/>
          <c:order val="5"/>
          <c:tx>
            <c:strRef>
              <c:f>Sheet1!$J$19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Sheet1!$K$19:$K$20</c:f>
              <c:numCache/>
            </c:numRef>
          </c:xVal>
          <c:yVal>
            <c:numRef>
              <c:f>Sheet1!$L$19:$L$20</c:f>
              <c:numCache/>
            </c:numRef>
          </c:yVal>
          <c:smooth val="0"/>
        </c:ser>
        <c:ser>
          <c:idx val="4"/>
          <c:order val="6"/>
          <c:tx>
            <c:strRef>
              <c:f>Sheet1!$J$21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Sheet1!$K$21:$K$22</c:f>
              <c:numCache/>
            </c:numRef>
          </c:xVal>
          <c:yVal>
            <c:numRef>
              <c:f>Sheet1!$L$21:$L$22</c:f>
              <c:numCache/>
            </c:numRef>
          </c:yVal>
          <c:smooth val="0"/>
        </c:ser>
        <c:ser>
          <c:idx val="5"/>
          <c:order val="7"/>
          <c:tx>
            <c:strRef>
              <c:f>Sheet1!$J$23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Sheet1!$K$23:$K$24</c:f>
              <c:numCache/>
            </c:numRef>
          </c:xVal>
          <c:yVal>
            <c:numRef>
              <c:f>Sheet1!$L$23:$L$24</c:f>
              <c:numCache/>
            </c:numRef>
          </c:yVal>
          <c:smooth val="0"/>
        </c:ser>
        <c:ser>
          <c:idx val="6"/>
          <c:order val="8"/>
          <c:tx>
            <c:strRef>
              <c:f>Sheet1!$N$15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Sheet1!$O$15:$O$16</c:f>
              <c:numCache/>
            </c:numRef>
          </c:xVal>
          <c:yVal>
            <c:numRef>
              <c:f>Sheet1!$P$15:$P$16</c:f>
              <c:numCache/>
            </c:numRef>
          </c:yVal>
          <c:smooth val="0"/>
        </c:ser>
        <c:ser>
          <c:idx val="7"/>
          <c:order val="9"/>
          <c:tx>
            <c:strRef>
              <c:f>Sheet1!$N$17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Sheet1!$O$17:$O$18</c:f>
              <c:numCache/>
            </c:numRef>
          </c:xVal>
          <c:yVal>
            <c:numRef>
              <c:f>Sheet1!$P$17:$P$18</c:f>
              <c:numCache/>
            </c:numRef>
          </c:yVal>
          <c:smooth val="0"/>
        </c:ser>
        <c:ser>
          <c:idx val="8"/>
          <c:order val="10"/>
          <c:tx>
            <c:strRef>
              <c:f>Sheet1!$N$19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Sheet1!$O$19:$O$20</c:f>
              <c:numCache/>
            </c:numRef>
          </c:xVal>
          <c:yVal>
            <c:numRef>
              <c:f>Sheet1!$P$19:$P$20</c:f>
              <c:numCache/>
            </c:numRef>
          </c:yVal>
          <c:smooth val="0"/>
        </c:ser>
        <c:ser>
          <c:idx val="9"/>
          <c:order val="11"/>
          <c:tx>
            <c:strRef>
              <c:f>Sheet1!$N$21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Sheet1!$O$21:$O$22</c:f>
              <c:numCache/>
            </c:numRef>
          </c:xVal>
          <c:yVal>
            <c:numRef>
              <c:f>Sheet1!$P$21:$P$22</c:f>
              <c:numCache/>
            </c:numRef>
          </c:yVal>
          <c:smooth val="0"/>
        </c:ser>
        <c:ser>
          <c:idx val="10"/>
          <c:order val="12"/>
          <c:tx>
            <c:strRef>
              <c:f>Sheet1!$N$23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Sheet1!$O$23:$O$24</c:f>
              <c:numCache/>
            </c:numRef>
          </c:xVal>
          <c:yVal>
            <c:numRef>
              <c:f>Sheet1!$P$23:$P$24</c:f>
              <c:numCache/>
            </c:numRef>
          </c:yVal>
          <c:smooth val="0"/>
        </c:ser>
        <c:axId val="23819642"/>
        <c:axId val="13050187"/>
      </c:scatterChart>
      <c:valAx>
        <c:axId val="23819642"/>
        <c:scaling>
          <c:orientation val="minMax"/>
        </c:scaling>
        <c:axPos val="b"/>
        <c:delete val="1"/>
        <c:majorTickMark val="out"/>
        <c:minorTickMark val="none"/>
        <c:tickLblPos val="nextTo"/>
        <c:crossAx val="13050187"/>
        <c:crosses val="autoZero"/>
        <c:crossBetween val="midCat"/>
        <c:dispUnits/>
      </c:valAx>
      <c:valAx>
        <c:axId val="1305018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196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08"/>
          <c:y val="0.02375"/>
          <c:w val="0.21825"/>
          <c:h val="0.5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28</xdr:row>
      <xdr:rowOff>57150</xdr:rowOff>
    </xdr:from>
    <xdr:to>
      <xdr:col>5</xdr:col>
      <xdr:colOff>657225</xdr:colOff>
      <xdr:row>30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924550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11</xdr:row>
      <xdr:rowOff>9525</xdr:rowOff>
    </xdr:from>
    <xdr:to>
      <xdr:col>19</xdr:col>
      <xdr:colOff>847725</xdr:colOff>
      <xdr:row>39</xdr:row>
      <xdr:rowOff>123825</xdr:rowOff>
    </xdr:to>
    <xdr:graphicFrame>
      <xdr:nvGraphicFramePr>
        <xdr:cNvPr id="2" name="Grafik 23"/>
        <xdr:cNvGraphicFramePr/>
      </xdr:nvGraphicFramePr>
      <xdr:xfrm>
        <a:off x="4810125" y="2371725"/>
        <a:ext cx="9086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47625</xdr:rowOff>
    </xdr:from>
    <xdr:to>
      <xdr:col>2</xdr:col>
      <xdr:colOff>419100</xdr:colOff>
      <xdr:row>3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rcRect b="10295"/>
        <a:stretch>
          <a:fillRect/>
        </a:stretch>
      </xdr:blipFill>
      <xdr:spPr>
        <a:xfrm>
          <a:off x="28575" y="47625"/>
          <a:ext cx="2000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56"/>
  <sheetViews>
    <sheetView showGridLines="0" tabSelected="1" view="pageBreakPreview" zoomScale="40" zoomScaleNormal="85" zoomScaleSheetLayoutView="40" zoomScalePageLayoutView="0" workbookViewId="0" topLeftCell="A1">
      <selection activeCell="F2" sqref="F2"/>
    </sheetView>
  </sheetViews>
  <sheetFormatPr defaultColWidth="0" defaultRowHeight="12.75" zeroHeight="1"/>
  <cols>
    <col min="1" max="1" width="12.28125" style="57" customWidth="1"/>
    <col min="2" max="2" width="11.8515625" style="57" bestFit="1" customWidth="1"/>
    <col min="3" max="3" width="8.140625" style="57" customWidth="1"/>
    <col min="4" max="4" width="9.28125" style="57" bestFit="1" customWidth="1"/>
    <col min="5" max="5" width="8.28125" style="57" customWidth="1"/>
    <col min="6" max="6" width="10.7109375" style="57" customWidth="1"/>
    <col min="7" max="7" width="11.28125" style="57" customWidth="1"/>
    <col min="8" max="8" width="9.57421875" style="57" customWidth="1"/>
    <col min="9" max="9" width="10.00390625" style="57" customWidth="1"/>
    <col min="10" max="10" width="8.00390625" style="57" customWidth="1"/>
    <col min="11" max="11" width="9.140625" style="57" customWidth="1"/>
    <col min="12" max="13" width="9.421875" style="57" bestFit="1" customWidth="1"/>
    <col min="14" max="14" width="10.28125" style="57" customWidth="1"/>
    <col min="15" max="15" width="9.421875" style="57" bestFit="1" customWidth="1"/>
    <col min="16" max="16" width="10.421875" style="57" customWidth="1"/>
    <col min="17" max="17" width="16.28125" style="57" bestFit="1" customWidth="1"/>
    <col min="18" max="18" width="12.57421875" style="57" customWidth="1"/>
    <col min="19" max="19" width="9.28125" style="57" bestFit="1" customWidth="1"/>
    <col min="20" max="20" width="13.7109375" style="57" customWidth="1"/>
    <col min="21" max="21" width="11.421875" style="57" hidden="1" customWidth="1"/>
    <col min="22" max="22" width="9.28125" style="57" hidden="1" customWidth="1"/>
    <col min="23" max="23" width="0" style="57" hidden="1" customWidth="1"/>
    <col min="24" max="24" width="9.28125" style="57" hidden="1" customWidth="1"/>
    <col min="25" max="25" width="0" style="57" hidden="1" customWidth="1"/>
    <col min="26" max="26" width="9.28125" style="57" hidden="1" customWidth="1"/>
    <col min="27" max="16384" width="0" style="57" hidden="1" customWidth="1"/>
  </cols>
  <sheetData>
    <row r="1" ht="12.75"/>
    <row r="2" ht="18">
      <c r="D2" s="232" t="s">
        <v>115</v>
      </c>
    </row>
    <row r="3" ht="18">
      <c r="D3" s="232" t="s">
        <v>116</v>
      </c>
    </row>
    <row r="4" ht="12.75"/>
    <row r="5" ht="13.5" thickBot="1"/>
    <row r="6" spans="1:19" ht="20.25" customHeight="1" thickBot="1">
      <c r="A6" s="223" t="s">
        <v>113</v>
      </c>
      <c r="B6" s="55"/>
      <c r="C6" s="225" t="s">
        <v>32</v>
      </c>
      <c r="D6" s="226"/>
      <c r="E6" s="226"/>
      <c r="F6" s="226"/>
      <c r="G6" s="226"/>
      <c r="H6" s="226"/>
      <c r="I6" s="226"/>
      <c r="J6" s="227"/>
      <c r="K6" s="210" t="s">
        <v>33</v>
      </c>
      <c r="L6" s="211"/>
      <c r="M6" s="211"/>
      <c r="N6" s="212"/>
      <c r="O6" s="210" t="s">
        <v>48</v>
      </c>
      <c r="P6" s="211"/>
      <c r="Q6" s="211"/>
      <c r="R6" s="215"/>
      <c r="S6" s="56"/>
    </row>
    <row r="7" spans="1:19" ht="17.25" customHeight="1" thickBot="1">
      <c r="A7" s="224"/>
      <c r="B7" s="58" t="s">
        <v>37</v>
      </c>
      <c r="C7" s="213" t="s">
        <v>36</v>
      </c>
      <c r="D7" s="214"/>
      <c r="E7" s="213" t="s">
        <v>34</v>
      </c>
      <c r="F7" s="228"/>
      <c r="G7" s="228"/>
      <c r="H7" s="228"/>
      <c r="I7" s="228"/>
      <c r="J7" s="214"/>
      <c r="K7" s="201" t="s">
        <v>2</v>
      </c>
      <c r="L7" s="202" t="s">
        <v>1</v>
      </c>
      <c r="M7" s="202" t="s">
        <v>0</v>
      </c>
      <c r="N7" s="203" t="s">
        <v>29</v>
      </c>
      <c r="O7" s="216" t="s">
        <v>54</v>
      </c>
      <c r="P7" s="219">
        <v>0.003</v>
      </c>
      <c r="Q7" s="61" t="s">
        <v>31</v>
      </c>
      <c r="R7" s="12">
        <f>'Calc.'!I3</f>
        <v>115.06056093864886</v>
      </c>
      <c r="S7" s="56"/>
    </row>
    <row r="8" spans="1:19" ht="19.5" customHeight="1" thickBot="1">
      <c r="A8" s="224"/>
      <c r="B8" s="58" t="s">
        <v>38</v>
      </c>
      <c r="C8" s="59" t="s">
        <v>21</v>
      </c>
      <c r="D8" s="62" t="s">
        <v>22</v>
      </c>
      <c r="E8" s="63" t="s">
        <v>23</v>
      </c>
      <c r="F8" s="60" t="s">
        <v>24</v>
      </c>
      <c r="G8" s="64" t="s">
        <v>25</v>
      </c>
      <c r="H8" s="60" t="s">
        <v>26</v>
      </c>
      <c r="I8" s="64" t="s">
        <v>27</v>
      </c>
      <c r="J8" s="62" t="s">
        <v>28</v>
      </c>
      <c r="K8" s="65" t="s">
        <v>5</v>
      </c>
      <c r="L8" s="66" t="s">
        <v>5</v>
      </c>
      <c r="M8" s="66" t="s">
        <v>5</v>
      </c>
      <c r="N8" s="67" t="s">
        <v>5</v>
      </c>
      <c r="O8" s="217"/>
      <c r="P8" s="220"/>
      <c r="Q8" s="68" t="s">
        <v>97</v>
      </c>
      <c r="R8" s="13">
        <f>'Calc.'!H3</f>
        <v>0.05981695931641401</v>
      </c>
      <c r="S8" s="56"/>
    </row>
    <row r="9" spans="1:18" ht="18" customHeight="1" thickBot="1" thickTop="1">
      <c r="A9" s="224"/>
      <c r="B9" s="69" t="s">
        <v>39</v>
      </c>
      <c r="C9" s="70"/>
      <c r="D9" s="71"/>
      <c r="E9" s="72"/>
      <c r="F9" s="73"/>
      <c r="G9" s="72"/>
      <c r="H9" s="73"/>
      <c r="I9" s="74"/>
      <c r="J9" s="75"/>
      <c r="K9" s="21">
        <v>350</v>
      </c>
      <c r="L9" s="22">
        <v>400</v>
      </c>
      <c r="M9" s="14">
        <f>h-cc-phi-INDEX(St_vec,L$10)*0.5</f>
        <v>365.02</v>
      </c>
      <c r="N9" s="76">
        <v>20</v>
      </c>
      <c r="O9" s="218"/>
      <c r="P9" s="221"/>
      <c r="Q9" s="61" t="s">
        <v>109</v>
      </c>
      <c r="R9" s="12">
        <f>'Calc.'!F3</f>
        <v>50.15300065874108</v>
      </c>
    </row>
    <row r="10" spans="1:18" ht="18.75" customHeight="1" thickBot="1">
      <c r="A10" s="224"/>
      <c r="B10" s="77" t="s">
        <v>4</v>
      </c>
      <c r="C10" s="65" t="s">
        <v>3</v>
      </c>
      <c r="D10" s="78"/>
      <c r="E10" s="79" t="s">
        <v>3</v>
      </c>
      <c r="F10" s="66" t="s">
        <v>3</v>
      </c>
      <c r="G10" s="79"/>
      <c r="H10" s="66" t="s">
        <v>3</v>
      </c>
      <c r="I10" s="66"/>
      <c r="J10" s="78"/>
      <c r="K10" s="80" t="s">
        <v>19</v>
      </c>
      <c r="L10" s="26">
        <f>IF(M10="",COUNTIF(D17:D26,"&gt;0"),0)</f>
        <v>2</v>
      </c>
      <c r="M10" s="25">
        <f>IF(OR(COUNTIF(D17:D26,"&gt;0")=0,COUNTIF(St_vec,"&gt;0")=0),"Enter a valid reinfor.values",IF(COUNTIF(St_vec,"&gt;0")=COUNTIF(D17:D26,"&gt;0"),"","reinfor. dont match"))</f>
      </c>
      <c r="Q10" s="81"/>
      <c r="R10" s="82"/>
    </row>
    <row r="11" spans="1:13" ht="17.25" customHeight="1" thickBot="1" thickTop="1">
      <c r="A11" s="224"/>
      <c r="B11" s="17">
        <v>150</v>
      </c>
      <c r="C11" s="18">
        <v>25</v>
      </c>
      <c r="D11" s="19">
        <v>1</v>
      </c>
      <c r="E11" s="20">
        <v>420</v>
      </c>
      <c r="F11" s="20">
        <v>500</v>
      </c>
      <c r="G11" s="20">
        <v>1</v>
      </c>
      <c r="H11" s="83">
        <v>200000</v>
      </c>
      <c r="I11" s="20">
        <v>0.01</v>
      </c>
      <c r="J11" s="19">
        <v>0.1</v>
      </c>
      <c r="K11" s="84"/>
      <c r="M11" s="85"/>
    </row>
    <row r="12" spans="1:19" ht="15.75" thickBot="1">
      <c r="A12" s="224"/>
      <c r="R12" s="86"/>
      <c r="S12" s="87"/>
    </row>
    <row r="13" spans="1:8" ht="18.75" customHeight="1" thickBot="1">
      <c r="A13" s="224"/>
      <c r="B13" s="210" t="s">
        <v>35</v>
      </c>
      <c r="C13" s="211"/>
      <c r="D13" s="211"/>
      <c r="E13" s="211"/>
      <c r="F13" s="211"/>
      <c r="G13" s="211"/>
      <c r="H13" s="88"/>
    </row>
    <row r="14" spans="1:16" ht="21.75" customHeight="1">
      <c r="A14" s="224"/>
      <c r="B14" s="72" t="s">
        <v>45</v>
      </c>
      <c r="C14" s="89" t="s">
        <v>30</v>
      </c>
      <c r="D14" s="90" t="s">
        <v>46</v>
      </c>
      <c r="E14" s="73" t="s">
        <v>44</v>
      </c>
      <c r="F14" s="91" t="s">
        <v>80</v>
      </c>
      <c r="G14" s="176" t="s">
        <v>82</v>
      </c>
      <c r="H14" s="92"/>
      <c r="I14" s="204" t="s">
        <v>55</v>
      </c>
      <c r="J14" s="205"/>
      <c r="K14" s="93" t="s">
        <v>53</v>
      </c>
      <c r="L14" s="93" t="s">
        <v>52</v>
      </c>
      <c r="M14" s="94"/>
      <c r="N14" s="95"/>
      <c r="O14" s="93" t="s">
        <v>53</v>
      </c>
      <c r="P14" s="93" t="s">
        <v>52</v>
      </c>
    </row>
    <row r="15" spans="1:16" ht="20.25" customHeight="1">
      <c r="A15" s="224"/>
      <c r="B15" s="72"/>
      <c r="C15" s="96"/>
      <c r="D15" s="90"/>
      <c r="E15" s="73"/>
      <c r="F15" s="91" t="s">
        <v>81</v>
      </c>
      <c r="G15" s="208" t="s">
        <v>105</v>
      </c>
      <c r="H15" s="97"/>
      <c r="I15" s="98">
        <v>1</v>
      </c>
      <c r="J15" s="84" t="str">
        <f>IF(K16=0,"","es1= "&amp;ROUND(K16,6))</f>
        <v>es1= 0.000908</v>
      </c>
      <c r="K15" s="99">
        <f aca="true" ca="1" t="shared" si="0" ref="K15:K23">IF(I15=I16,0,INDIRECT("Calc.!D"&amp;I15+2))</f>
        <v>0</v>
      </c>
      <c r="L15" s="100">
        <f ca="1" t="shared" si="1" ref="L15:L24">INDIRECT("Calc.!C"&amp;I15+2)</f>
        <v>165.02</v>
      </c>
      <c r="M15" s="101">
        <v>6</v>
      </c>
      <c r="N15" s="84">
        <f>IF(O16=0,"","es"&amp;M16&amp;"= "&amp;ROUND(O16,6))</f>
      </c>
      <c r="O15" s="100">
        <f aca="true" ca="1" t="shared" si="2" ref="O15:O23">IF(M15=M16,0,INDIRECT("Calc.!D"&amp;M15+2))</f>
        <v>0</v>
      </c>
      <c r="P15" s="100">
        <f ca="1" t="shared" si="3" ref="P15:P24">INDIRECT("Calc.!C"&amp;M15+2)</f>
        <v>0</v>
      </c>
    </row>
    <row r="16" spans="1:16" ht="18" customHeight="1" thickBot="1">
      <c r="A16" s="224"/>
      <c r="B16" s="102"/>
      <c r="C16" s="66" t="s">
        <v>5</v>
      </c>
      <c r="D16" s="66"/>
      <c r="E16" s="66" t="s">
        <v>7</v>
      </c>
      <c r="F16" s="103" t="s">
        <v>5</v>
      </c>
      <c r="G16" s="209"/>
      <c r="H16" s="104"/>
      <c r="I16" s="98">
        <v>1</v>
      </c>
      <c r="J16" s="84"/>
      <c r="K16" s="99">
        <f ca="1" t="shared" si="0"/>
        <v>0.0009076027631118374</v>
      </c>
      <c r="L16" s="100">
        <f ca="1" t="shared" si="1"/>
        <v>165.02</v>
      </c>
      <c r="M16" s="101">
        <v>6</v>
      </c>
      <c r="N16" s="84"/>
      <c r="O16" s="100">
        <f ca="1" t="shared" si="2"/>
        <v>0</v>
      </c>
      <c r="P16" s="100">
        <f ca="1" t="shared" si="3"/>
        <v>0</v>
      </c>
    </row>
    <row r="17" spans="1:16" ht="13.5" thickTop="1">
      <c r="A17" s="224"/>
      <c r="B17" s="105">
        <v>1</v>
      </c>
      <c r="C17" s="15">
        <v>13.96</v>
      </c>
      <c r="D17" s="15">
        <v>4</v>
      </c>
      <c r="E17" s="106">
        <f>(PI()*C17*C17/4)*D17</f>
        <v>612.2386028798247</v>
      </c>
      <c r="F17" s="107">
        <f>h/2-(phi+cc+C17/2)</f>
        <v>165.01999999999998</v>
      </c>
      <c r="G17" s="108">
        <f aca="true" t="shared" si="4" ref="G17:G26">IF(C17&gt;0,(h/2-F17)," ")</f>
        <v>34.98000000000002</v>
      </c>
      <c r="H17" s="109"/>
      <c r="I17" s="98">
        <v>2</v>
      </c>
      <c r="J17" s="84" t="str">
        <f>IF(K18=0,"","es"&amp;I18&amp;"= "&amp;ROUND(K18,6))</f>
        <v>es2= -0.018834</v>
      </c>
      <c r="K17" s="99">
        <f ca="1" t="shared" si="0"/>
        <v>0</v>
      </c>
      <c r="L17" s="100">
        <f ca="1" t="shared" si="1"/>
        <v>-165.02</v>
      </c>
      <c r="M17" s="101">
        <v>7</v>
      </c>
      <c r="N17" s="84">
        <f>IF(O18=0,"","es"&amp;M18&amp;"= "&amp;ROUND(O18,6))</f>
      </c>
      <c r="O17" s="100">
        <f ca="1" t="shared" si="2"/>
        <v>0</v>
      </c>
      <c r="P17" s="100">
        <f ca="1" t="shared" si="3"/>
        <v>0</v>
      </c>
    </row>
    <row r="18" spans="1:16" ht="16.5" customHeight="1">
      <c r="A18" s="224"/>
      <c r="B18" s="105">
        <v>2</v>
      </c>
      <c r="C18" s="15">
        <v>13.96</v>
      </c>
      <c r="D18" s="15">
        <v>4</v>
      </c>
      <c r="E18" s="106">
        <f>(PI()*C18*C18/4)*D18</f>
        <v>612.2386028798247</v>
      </c>
      <c r="F18" s="110">
        <f>xs1-((h-2*(phi+cc+INDEX(St_vec,L$10)*0.5))/(L$10-1))</f>
        <v>-165.01999999999998</v>
      </c>
      <c r="G18" s="111">
        <f t="shared" si="4"/>
        <v>365.02</v>
      </c>
      <c r="H18" s="109"/>
      <c r="I18" s="98">
        <v>2</v>
      </c>
      <c r="J18" s="84"/>
      <c r="K18" s="99">
        <f ca="1" t="shared" si="0"/>
        <v>-0.01883438648967744</v>
      </c>
      <c r="L18" s="100">
        <f ca="1" t="shared" si="1"/>
        <v>-165.02</v>
      </c>
      <c r="M18" s="101">
        <v>7</v>
      </c>
      <c r="N18" s="84"/>
      <c r="O18" s="100">
        <f ca="1" t="shared" si="2"/>
        <v>0</v>
      </c>
      <c r="P18" s="100">
        <f ca="1" t="shared" si="3"/>
        <v>0</v>
      </c>
    </row>
    <row r="19" spans="1:16" ht="15" customHeight="1">
      <c r="A19" s="224"/>
      <c r="B19" s="105">
        <v>3</v>
      </c>
      <c r="C19" s="15"/>
      <c r="D19" s="15"/>
      <c r="E19" s="106">
        <f>(PI()*C19*C19/4)*D19</f>
        <v>0</v>
      </c>
      <c r="F19" s="110">
        <f>IF(C19&gt;0,xs2-((h-2*(phi+cc+INDEX(St_vec,L$10)*0.5))/(L$10-1)),0)</f>
        <v>0</v>
      </c>
      <c r="G19" s="111" t="str">
        <f t="shared" si="4"/>
        <v> </v>
      </c>
      <c r="H19" s="109"/>
      <c r="I19" s="101">
        <v>3</v>
      </c>
      <c r="J19" s="84">
        <f>IF(K20=0,"","es"&amp;I20&amp;"= "&amp;ROUND(K20,6))</f>
      </c>
      <c r="K19" s="99">
        <f ca="1" t="shared" si="0"/>
        <v>0</v>
      </c>
      <c r="L19" s="100">
        <f ca="1" t="shared" si="1"/>
        <v>0</v>
      </c>
      <c r="M19" s="101">
        <v>8</v>
      </c>
      <c r="N19" s="84">
        <f>IF(O20=0,"","es"&amp;M20&amp;"= "&amp;ROUND(O20,6))</f>
      </c>
      <c r="O19" s="100">
        <f ca="1" t="shared" si="2"/>
        <v>0</v>
      </c>
      <c r="P19" s="100">
        <f ca="1" t="shared" si="3"/>
        <v>0</v>
      </c>
    </row>
    <row r="20" spans="1:26" ht="15.75" customHeight="1">
      <c r="A20" s="224"/>
      <c r="B20" s="105">
        <v>4</v>
      </c>
      <c r="C20" s="15"/>
      <c r="D20" s="15"/>
      <c r="E20" s="106">
        <f>(PI()*C20*C20/4)*D20</f>
        <v>0</v>
      </c>
      <c r="F20" s="110">
        <f>IF(C20&gt;0,xs3-((h-2*(phi+cc+INDEX(St_vec,L$10)*0.5))/(L$10-1)),0)</f>
        <v>0</v>
      </c>
      <c r="G20" s="111" t="str">
        <f t="shared" si="4"/>
        <v> </v>
      </c>
      <c r="H20" s="109"/>
      <c r="I20" s="101">
        <v>3</v>
      </c>
      <c r="J20" s="84"/>
      <c r="K20" s="99">
        <f ca="1" t="shared" si="0"/>
        <v>0</v>
      </c>
      <c r="L20" s="100">
        <f ca="1" t="shared" si="1"/>
        <v>0</v>
      </c>
      <c r="M20" s="101">
        <v>8</v>
      </c>
      <c r="N20" s="84"/>
      <c r="O20" s="100">
        <f ca="1" t="shared" si="2"/>
        <v>0</v>
      </c>
      <c r="P20" s="100">
        <f ca="1" t="shared" si="3"/>
        <v>0</v>
      </c>
      <c r="W20" s="112"/>
      <c r="X20" s="112"/>
      <c r="Y20" s="112"/>
      <c r="Z20" s="112"/>
    </row>
    <row r="21" spans="1:16" ht="18.75" customHeight="1">
      <c r="A21" s="224"/>
      <c r="B21" s="105">
        <v>5</v>
      </c>
      <c r="C21" s="15"/>
      <c r="D21" s="15"/>
      <c r="E21" s="106">
        <f aca="true" t="shared" si="5" ref="E21:E26">(PI()*C21*C21/4)*D21</f>
        <v>0</v>
      </c>
      <c r="F21" s="110">
        <f>IF(C21&gt;0,xs4-((h-2*(phi+cc+INDEX(St_vec,L$10)*0.5))/(L$10-1)),0)</f>
        <v>0</v>
      </c>
      <c r="G21" s="111" t="str">
        <f t="shared" si="4"/>
        <v> </v>
      </c>
      <c r="H21" s="109"/>
      <c r="I21" s="101">
        <v>4</v>
      </c>
      <c r="J21" s="84">
        <f>IF(K22=0,"","es"&amp;I22&amp;"= "&amp;ROUND(K22,6))</f>
      </c>
      <c r="K21" s="99">
        <f ca="1" t="shared" si="0"/>
        <v>0</v>
      </c>
      <c r="L21" s="100">
        <f ca="1" t="shared" si="1"/>
        <v>0</v>
      </c>
      <c r="M21" s="101">
        <v>9</v>
      </c>
      <c r="N21" s="84">
        <f>IF(O22=0,"","es"&amp;M22&amp;"= "&amp;ROUND(O22,6))</f>
      </c>
      <c r="O21" s="100">
        <f ca="1" t="shared" si="2"/>
        <v>0</v>
      </c>
      <c r="P21" s="100">
        <f ca="1" t="shared" si="3"/>
        <v>0</v>
      </c>
    </row>
    <row r="22" spans="1:16" ht="16.5" customHeight="1">
      <c r="A22" s="224"/>
      <c r="B22" s="105">
        <v>6</v>
      </c>
      <c r="C22" s="15"/>
      <c r="D22" s="15"/>
      <c r="E22" s="106">
        <f t="shared" si="5"/>
        <v>0</v>
      </c>
      <c r="F22" s="110">
        <f>IF(C22&gt;0,xs5-((h-2*(phi+cc+INDEX(St_vec,L$10)*0.5))/(L$10-1)),0)</f>
        <v>0</v>
      </c>
      <c r="G22" s="111" t="str">
        <f t="shared" si="4"/>
        <v> </v>
      </c>
      <c r="H22" s="109"/>
      <c r="I22" s="101">
        <v>4</v>
      </c>
      <c r="J22" s="84"/>
      <c r="K22" s="99">
        <f ca="1" t="shared" si="0"/>
        <v>0</v>
      </c>
      <c r="L22" s="100">
        <f ca="1" t="shared" si="1"/>
        <v>0</v>
      </c>
      <c r="M22" s="101">
        <v>9</v>
      </c>
      <c r="N22" s="84"/>
      <c r="O22" s="100">
        <f ca="1" t="shared" si="2"/>
        <v>0</v>
      </c>
      <c r="P22" s="100">
        <f ca="1" t="shared" si="3"/>
        <v>0</v>
      </c>
    </row>
    <row r="23" spans="1:16" ht="12.75">
      <c r="A23" s="224"/>
      <c r="B23" s="105">
        <v>7</v>
      </c>
      <c r="C23" s="15"/>
      <c r="D23" s="15"/>
      <c r="E23" s="106">
        <f t="shared" si="5"/>
        <v>0</v>
      </c>
      <c r="F23" s="110">
        <f>IF(C23&gt;0,xs6-((h-2*(phi+cc+INDEX(St_vec,L$10)*0.5))/(L$10-1)),0)</f>
        <v>0</v>
      </c>
      <c r="G23" s="111" t="str">
        <f t="shared" si="4"/>
        <v> </v>
      </c>
      <c r="H23" s="109"/>
      <c r="I23" s="101">
        <v>5</v>
      </c>
      <c r="J23" s="84">
        <f>IF(K24=0,"","es"&amp;I24&amp;"= "&amp;ROUND(K24,6))</f>
      </c>
      <c r="K23" s="99">
        <f ca="1" t="shared" si="0"/>
        <v>0</v>
      </c>
      <c r="L23" s="100">
        <f ca="1" t="shared" si="1"/>
        <v>0</v>
      </c>
      <c r="M23" s="101">
        <v>10</v>
      </c>
      <c r="N23" s="84">
        <f>IF(O24=0,"","es"&amp;M24&amp;"= "&amp;ROUND(O24,6))</f>
      </c>
      <c r="O23" s="100">
        <f ca="1" t="shared" si="2"/>
        <v>0</v>
      </c>
      <c r="P23" s="100">
        <f ca="1" t="shared" si="3"/>
        <v>0</v>
      </c>
    </row>
    <row r="24" spans="1:16" ht="13.5" thickBot="1">
      <c r="A24" s="224"/>
      <c r="B24" s="105">
        <v>8</v>
      </c>
      <c r="C24" s="15"/>
      <c r="D24" s="15"/>
      <c r="E24" s="106">
        <f t="shared" si="5"/>
        <v>0</v>
      </c>
      <c r="F24" s="110">
        <f>IF(C24&gt;0,xs7-((h-2*(phi+cc+INDEX(St_vec,L$10)*0.5))/(L$10-1)),0)</f>
        <v>0</v>
      </c>
      <c r="G24" s="111" t="str">
        <f t="shared" si="4"/>
        <v> </v>
      </c>
      <c r="H24" s="109"/>
      <c r="I24" s="113">
        <v>5</v>
      </c>
      <c r="J24" s="28"/>
      <c r="K24" s="114">
        <f ca="1">IF(I24=J25,0,INDIRECT("Calc.!D"&amp;I24+2))</f>
        <v>0</v>
      </c>
      <c r="L24" s="115">
        <f ca="1" t="shared" si="1"/>
        <v>0</v>
      </c>
      <c r="M24" s="113">
        <v>10</v>
      </c>
      <c r="N24" s="28"/>
      <c r="O24" s="115">
        <f ca="1">IF(M24=O25,0,INDIRECT("Calc.!D"&amp;M24+2))</f>
        <v>0</v>
      </c>
      <c r="P24" s="115">
        <f ca="1" t="shared" si="3"/>
        <v>0</v>
      </c>
    </row>
    <row r="25" spans="1:16" ht="12.75">
      <c r="A25" s="224"/>
      <c r="B25" s="105">
        <v>9</v>
      </c>
      <c r="C25" s="15"/>
      <c r="D25" s="15"/>
      <c r="E25" s="106">
        <f t="shared" si="5"/>
        <v>0</v>
      </c>
      <c r="F25" s="110">
        <f>IF(C25&gt;0,xs8-((h-2*(phi+cc+INDEX(St_vec,L$10)*0.5))/(L$10-1)),0)</f>
        <v>0</v>
      </c>
      <c r="G25" s="111" t="str">
        <f t="shared" si="4"/>
        <v> </v>
      </c>
      <c r="H25" s="109"/>
      <c r="I25" s="204" t="s">
        <v>56</v>
      </c>
      <c r="J25" s="205"/>
      <c r="K25" s="93" t="s">
        <v>53</v>
      </c>
      <c r="L25" s="93" t="s">
        <v>52</v>
      </c>
      <c r="M25" s="94"/>
      <c r="N25" s="95"/>
      <c r="O25" s="93" t="s">
        <v>53</v>
      </c>
      <c r="P25" s="93" t="s">
        <v>52</v>
      </c>
    </row>
    <row r="26" spans="1:16" ht="13.5" thickBot="1">
      <c r="A26" s="224"/>
      <c r="B26" s="116">
        <v>10</v>
      </c>
      <c r="C26" s="16"/>
      <c r="D26" s="16"/>
      <c r="E26" s="117">
        <f t="shared" si="5"/>
        <v>0</v>
      </c>
      <c r="F26" s="118">
        <f>IF(C26&gt;0,xs9-((h-2*(phi+cc+INDEX(St_vec,L$10)*0.5))/(L$10-1)),0)</f>
        <v>0</v>
      </c>
      <c r="G26" s="119" t="str">
        <f t="shared" si="4"/>
        <v> </v>
      </c>
      <c r="H26" s="109"/>
      <c r="I26" s="120"/>
      <c r="J26" s="84" t="str">
        <f>"ec= "&amp;K27</f>
        <v>ec= 0.003</v>
      </c>
      <c r="K26" s="99">
        <v>0</v>
      </c>
      <c r="L26" s="100">
        <f>'Calc.'!A3</f>
        <v>200</v>
      </c>
      <c r="M26" s="121"/>
      <c r="N26" s="84" t="str">
        <f>"ec= "&amp;ROUND(O27,6)</f>
        <v>ec= -0.021234</v>
      </c>
      <c r="O26" s="122">
        <v>0</v>
      </c>
      <c r="P26" s="123">
        <f>'Calc.'!A43</f>
        <v>-205.12820512820514</v>
      </c>
    </row>
    <row r="27" spans="1:16" ht="16.5" thickBot="1">
      <c r="A27" s="224"/>
      <c r="B27" s="200" t="s">
        <v>18</v>
      </c>
      <c r="C27" s="27">
        <f>SUMPRODUCT(C17:C26,D17:D26)/SUM(D17:D26)</f>
        <v>13.96</v>
      </c>
      <c r="D27" s="124" t="s">
        <v>108</v>
      </c>
      <c r="E27" s="125">
        <f>SUM(E17:E26)/(b*h)</f>
        <v>0.008746265755426067</v>
      </c>
      <c r="F27" s="199" t="s">
        <v>20</v>
      </c>
      <c r="G27" s="198">
        <f>n*1000/(fc*b*h)</f>
        <v>0.04285714285714286</v>
      </c>
      <c r="H27" s="126"/>
      <c r="I27" s="127"/>
      <c r="J27" s="28"/>
      <c r="K27" s="128">
        <f>'Calc.'!B3</f>
        <v>0.003</v>
      </c>
      <c r="L27" s="115">
        <f>L26</f>
        <v>200</v>
      </c>
      <c r="M27" s="129"/>
      <c r="N27" s="28"/>
      <c r="O27" s="29">
        <f>'Calc.'!B43</f>
        <v>-0.021233537364085675</v>
      </c>
      <c r="P27" s="29">
        <f>P26</f>
        <v>-205.12820512820514</v>
      </c>
    </row>
    <row r="28" spans="1:9" ht="16.5" customHeight="1" thickBot="1">
      <c r="A28" s="224"/>
      <c r="B28" s="225" t="s">
        <v>43</v>
      </c>
      <c r="C28" s="226"/>
      <c r="D28" s="227"/>
      <c r="I28" s="130"/>
    </row>
    <row r="29" spans="1:4" ht="15.75" customHeight="1">
      <c r="A29" s="224"/>
      <c r="B29" s="131" t="s">
        <v>15</v>
      </c>
      <c r="C29" s="72" t="s">
        <v>3</v>
      </c>
      <c r="D29" s="23">
        <v>220</v>
      </c>
    </row>
    <row r="30" spans="1:13" ht="15.75">
      <c r="A30" s="224"/>
      <c r="B30" s="132" t="s">
        <v>9</v>
      </c>
      <c r="C30" s="72" t="s">
        <v>5</v>
      </c>
      <c r="D30" s="23">
        <v>8</v>
      </c>
      <c r="M30" s="133"/>
    </row>
    <row r="31" spans="1:13" ht="12.75">
      <c r="A31" s="224"/>
      <c r="B31" s="134" t="s">
        <v>10</v>
      </c>
      <c r="C31" s="72" t="s">
        <v>5</v>
      </c>
      <c r="D31" s="23">
        <v>200</v>
      </c>
      <c r="M31" s="133"/>
    </row>
    <row r="32" spans="1:4" ht="21.75" customHeight="1">
      <c r="A32" s="224"/>
      <c r="B32" s="134" t="s">
        <v>11</v>
      </c>
      <c r="C32" s="72" t="s">
        <v>5</v>
      </c>
      <c r="D32" s="24">
        <f>b-2*cc-phi</f>
        <v>302</v>
      </c>
    </row>
    <row r="33" spans="1:8" ht="21" customHeight="1">
      <c r="A33" s="224"/>
      <c r="B33" s="134" t="s">
        <v>12</v>
      </c>
      <c r="C33" s="72" t="s">
        <v>5</v>
      </c>
      <c r="D33" s="24">
        <f>h-2*cc-phi</f>
        <v>352</v>
      </c>
      <c r="F33" s="130"/>
      <c r="G33" s="130"/>
      <c r="H33" s="130"/>
    </row>
    <row r="34" spans="1:8" ht="15">
      <c r="A34" s="224"/>
      <c r="B34" s="134" t="s">
        <v>13</v>
      </c>
      <c r="C34" s="72" t="s">
        <v>5</v>
      </c>
      <c r="D34" s="24">
        <f>D37*bk*0.5</f>
        <v>0</v>
      </c>
      <c r="E34" s="130"/>
      <c r="F34" s="130"/>
      <c r="G34" s="130"/>
      <c r="H34" s="130"/>
    </row>
    <row r="35" spans="1:11" ht="15">
      <c r="A35" s="224"/>
      <c r="B35" s="134" t="s">
        <v>14</v>
      </c>
      <c r="C35" s="72" t="s">
        <v>5</v>
      </c>
      <c r="D35" s="24">
        <f>D38*hk*0.5</f>
        <v>0</v>
      </c>
      <c r="H35" s="135"/>
      <c r="I35" s="130"/>
      <c r="J35" s="130"/>
      <c r="K35" s="130"/>
    </row>
    <row r="36" spans="1:11" ht="12.75">
      <c r="A36" s="224"/>
      <c r="B36" s="134" t="s">
        <v>16</v>
      </c>
      <c r="C36" s="72"/>
      <c r="D36" s="23">
        <v>1</v>
      </c>
      <c r="H36" s="136"/>
      <c r="I36" s="130"/>
      <c r="J36" s="130"/>
      <c r="K36" s="130"/>
    </row>
    <row r="37" spans="1:16" ht="14.25" customHeight="1">
      <c r="A37" s="224"/>
      <c r="B37" s="134" t="s">
        <v>40</v>
      </c>
      <c r="C37" s="72" t="s">
        <v>41</v>
      </c>
      <c r="D37" s="23">
        <v>0</v>
      </c>
      <c r="E37" s="137"/>
      <c r="F37" s="137"/>
      <c r="G37" s="137"/>
      <c r="H37" s="136"/>
      <c r="I37" s="84"/>
      <c r="L37" s="138"/>
      <c r="M37" s="55"/>
      <c r="N37" s="139"/>
      <c r="O37" s="140"/>
      <c r="P37" s="141"/>
    </row>
    <row r="38" spans="1:16" ht="19.5" customHeight="1">
      <c r="A38" s="224"/>
      <c r="B38" s="134" t="s">
        <v>40</v>
      </c>
      <c r="C38" s="72" t="s">
        <v>42</v>
      </c>
      <c r="D38" s="23">
        <v>0</v>
      </c>
      <c r="G38" s="84"/>
      <c r="H38" s="136"/>
      <c r="J38" s="142"/>
      <c r="K38" s="143"/>
      <c r="L38" s="144"/>
      <c r="M38" s="145"/>
      <c r="N38" s="146"/>
      <c r="O38" s="147"/>
      <c r="P38" s="144"/>
    </row>
    <row r="39" spans="1:18" ht="19.5" customHeight="1" thickBot="1">
      <c r="A39" s="84"/>
      <c r="B39" s="148" t="s">
        <v>17</v>
      </c>
      <c r="C39" s="149"/>
      <c r="D39" s="54">
        <f>(PI()*(phi/2)^2)*ess*2*(bk+hk+bkp+hkp+2*phi)/(s*(bk+phi)*(hk+phi))</f>
        <v>0.0030177305776418082</v>
      </c>
      <c r="F39" s="84"/>
      <c r="G39" s="84"/>
      <c r="H39" s="112"/>
      <c r="J39" s="142"/>
      <c r="K39" s="143"/>
      <c r="L39" s="144"/>
      <c r="M39" s="145"/>
      <c r="N39" s="150"/>
      <c r="O39" s="147"/>
      <c r="P39" s="144"/>
      <c r="Q39" s="144"/>
      <c r="R39" s="144"/>
    </row>
    <row r="40" s="84" customFormat="1" ht="12">
      <c r="T40" s="123"/>
    </row>
    <row r="41" spans="1:20" s="84" customFormat="1" ht="18" customHeight="1" thickBot="1">
      <c r="A41" s="222" t="s">
        <v>58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123"/>
    </row>
    <row r="42" spans="1:20" s="84" customFormat="1" ht="22.5" customHeight="1">
      <c r="A42" s="151" t="s">
        <v>59</v>
      </c>
      <c r="B42" s="152" t="s">
        <v>60</v>
      </c>
      <c r="C42" s="112"/>
      <c r="D42" s="112"/>
      <c r="E42" s="112"/>
      <c r="F42" s="112"/>
      <c r="G42" s="112"/>
      <c r="H42" s="153"/>
      <c r="I42" s="154" t="s">
        <v>74</v>
      </c>
      <c r="J42" s="155" t="s">
        <v>90</v>
      </c>
      <c r="K42" s="156"/>
      <c r="S42" s="123"/>
      <c r="T42" s="157"/>
    </row>
    <row r="43" spans="1:20" s="84" customFormat="1" ht="28.5" customHeight="1">
      <c r="A43" s="151" t="s">
        <v>61</v>
      </c>
      <c r="B43" s="152" t="s">
        <v>62</v>
      </c>
      <c r="C43" s="112"/>
      <c r="D43" s="112"/>
      <c r="E43" s="112"/>
      <c r="F43" s="112"/>
      <c r="G43" s="112"/>
      <c r="H43" s="153"/>
      <c r="I43" s="154" t="s">
        <v>75</v>
      </c>
      <c r="J43" s="155" t="s">
        <v>91</v>
      </c>
      <c r="K43" s="158"/>
      <c r="L43" s="159"/>
      <c r="M43" s="160"/>
      <c r="O43" s="147"/>
      <c r="S43" s="161"/>
      <c r="T43" s="157"/>
    </row>
    <row r="44" spans="1:20" s="84" customFormat="1" ht="29.25" customHeight="1">
      <c r="A44" s="151" t="s">
        <v>83</v>
      </c>
      <c r="B44" s="206" t="s">
        <v>84</v>
      </c>
      <c r="C44" s="206"/>
      <c r="D44" s="206"/>
      <c r="E44" s="206"/>
      <c r="F44" s="206"/>
      <c r="G44" s="206"/>
      <c r="H44" s="207"/>
      <c r="I44" s="151" t="s">
        <v>76</v>
      </c>
      <c r="J44" s="162" t="s">
        <v>66</v>
      </c>
      <c r="K44" s="158"/>
      <c r="L44" s="159"/>
      <c r="O44" s="147"/>
      <c r="S44" s="123"/>
      <c r="T44" s="157"/>
    </row>
    <row r="45" spans="1:20" s="84" customFormat="1" ht="21" customHeight="1">
      <c r="A45" s="151" t="s">
        <v>67</v>
      </c>
      <c r="B45" s="162" t="s">
        <v>63</v>
      </c>
      <c r="C45" s="112"/>
      <c r="D45" s="112"/>
      <c r="E45" s="112"/>
      <c r="F45" s="112"/>
      <c r="G45" s="112"/>
      <c r="H45" s="153"/>
      <c r="I45" s="151" t="s">
        <v>93</v>
      </c>
      <c r="J45" s="162" t="s">
        <v>92</v>
      </c>
      <c r="K45" s="156"/>
      <c r="S45" s="123"/>
      <c r="T45" s="157"/>
    </row>
    <row r="46" spans="1:20" s="84" customFormat="1" ht="18" customHeight="1">
      <c r="A46" s="151" t="s">
        <v>68</v>
      </c>
      <c r="B46" s="162" t="s">
        <v>64</v>
      </c>
      <c r="C46" s="112"/>
      <c r="D46" s="112"/>
      <c r="E46" s="112"/>
      <c r="F46" s="112"/>
      <c r="G46" s="112"/>
      <c r="H46" s="153"/>
      <c r="I46" s="163" t="s">
        <v>78</v>
      </c>
      <c r="J46" s="162" t="s">
        <v>77</v>
      </c>
      <c r="O46" s="164"/>
      <c r="S46" s="123"/>
      <c r="T46" s="157"/>
    </row>
    <row r="47" spans="1:20" s="84" customFormat="1" ht="16.5">
      <c r="A47" s="151" t="s">
        <v>69</v>
      </c>
      <c r="B47" s="162" t="s">
        <v>87</v>
      </c>
      <c r="C47" s="112"/>
      <c r="D47" s="112"/>
      <c r="E47" s="112"/>
      <c r="F47" s="112"/>
      <c r="G47" s="112"/>
      <c r="H47" s="153"/>
      <c r="I47" s="163" t="s">
        <v>79</v>
      </c>
      <c r="J47" s="162" t="s">
        <v>77</v>
      </c>
      <c r="N47" s="164"/>
      <c r="O47" s="164"/>
      <c r="S47" s="123"/>
      <c r="T47" s="157"/>
    </row>
    <row r="48" spans="1:20" s="84" customFormat="1" ht="21.75" customHeight="1">
      <c r="A48" s="151" t="s">
        <v>85</v>
      </c>
      <c r="B48" s="165" t="s">
        <v>86</v>
      </c>
      <c r="C48" s="112"/>
      <c r="D48" s="112"/>
      <c r="E48" s="112"/>
      <c r="F48" s="112"/>
      <c r="G48" s="112"/>
      <c r="H48" s="166"/>
      <c r="I48" s="154" t="s">
        <v>94</v>
      </c>
      <c r="J48" s="162" t="s">
        <v>95</v>
      </c>
      <c r="N48" s="164"/>
      <c r="O48" s="164"/>
      <c r="S48" s="123"/>
      <c r="T48" s="157"/>
    </row>
    <row r="49" spans="1:20" s="84" customFormat="1" ht="19.5">
      <c r="A49" s="151" t="s">
        <v>70</v>
      </c>
      <c r="B49" s="162" t="s">
        <v>88</v>
      </c>
      <c r="C49" s="112"/>
      <c r="D49" s="112"/>
      <c r="E49" s="112"/>
      <c r="F49" s="112"/>
      <c r="G49" s="112"/>
      <c r="H49" s="166"/>
      <c r="I49" s="167" t="s">
        <v>103</v>
      </c>
      <c r="J49" s="162" t="s">
        <v>104</v>
      </c>
      <c r="S49" s="123"/>
      <c r="T49" s="157"/>
    </row>
    <row r="50" spans="1:20" s="84" customFormat="1" ht="16.5">
      <c r="A50" s="168" t="s">
        <v>71</v>
      </c>
      <c r="B50" s="162" t="s">
        <v>57</v>
      </c>
      <c r="C50" s="169"/>
      <c r="D50" s="169"/>
      <c r="E50" s="169"/>
      <c r="F50" s="169"/>
      <c r="G50" s="169"/>
      <c r="H50" s="153"/>
      <c r="I50" s="151" t="s">
        <v>96</v>
      </c>
      <c r="J50" s="162" t="s">
        <v>99</v>
      </c>
      <c r="S50" s="123"/>
      <c r="T50" s="157"/>
    </row>
    <row r="51" spans="1:20" s="84" customFormat="1" ht="19.5">
      <c r="A51" s="168" t="s">
        <v>72</v>
      </c>
      <c r="B51" s="170" t="s">
        <v>65</v>
      </c>
      <c r="C51" s="112"/>
      <c r="D51" s="112"/>
      <c r="E51" s="112"/>
      <c r="F51" s="112"/>
      <c r="G51" s="112"/>
      <c r="H51" s="171"/>
      <c r="I51" s="167" t="s">
        <v>98</v>
      </c>
      <c r="J51" s="152" t="s">
        <v>100</v>
      </c>
      <c r="S51" s="123"/>
      <c r="T51" s="157"/>
    </row>
    <row r="52" spans="1:20" s="84" customFormat="1" ht="16.5">
      <c r="A52" s="151" t="s">
        <v>73</v>
      </c>
      <c r="B52" s="162" t="s">
        <v>89</v>
      </c>
      <c r="D52" s="172"/>
      <c r="E52" s="172"/>
      <c r="F52" s="172"/>
      <c r="G52" s="172"/>
      <c r="H52" s="171"/>
      <c r="I52" s="173" t="s">
        <v>101</v>
      </c>
      <c r="J52" s="162" t="s">
        <v>102</v>
      </c>
      <c r="S52" s="123"/>
      <c r="T52" s="157"/>
    </row>
    <row r="53" spans="1:19" ht="13.5" thickBot="1">
      <c r="A53" s="174"/>
      <c r="B53" s="28"/>
      <c r="C53" s="28"/>
      <c r="D53" s="28"/>
      <c r="E53" s="28"/>
      <c r="F53" s="28"/>
      <c r="G53" s="28"/>
      <c r="H53" s="175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</row>
    <row r="54" spans="1:7" ht="12" hidden="1">
      <c r="A54" s="84"/>
      <c r="B54" s="84"/>
      <c r="C54" s="84"/>
      <c r="D54" s="84"/>
      <c r="E54" s="84"/>
      <c r="F54" s="84"/>
      <c r="G54" s="84"/>
    </row>
    <row r="55" spans="1:7" ht="7.5" customHeight="1">
      <c r="A55" s="84"/>
      <c r="B55" s="84"/>
      <c r="C55" s="84"/>
      <c r="D55" s="84"/>
      <c r="E55" s="84"/>
      <c r="F55" s="84"/>
      <c r="G55" s="84"/>
    </row>
    <row r="56" spans="1:20" ht="31.5" customHeight="1">
      <c r="A56" s="231" t="s">
        <v>114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</row>
    <row r="57" ht="12" hidden="1"/>
    <row r="58" ht="12"/>
  </sheetData>
  <sheetProtection selectLockedCells="1"/>
  <mergeCells count="16">
    <mergeCell ref="B13:G13"/>
    <mergeCell ref="B28:D28"/>
    <mergeCell ref="E7:J7"/>
    <mergeCell ref="C6:J6"/>
    <mergeCell ref="I14:J14"/>
    <mergeCell ref="A56:T56"/>
    <mergeCell ref="I25:J25"/>
    <mergeCell ref="B44:H44"/>
    <mergeCell ref="G15:G16"/>
    <mergeCell ref="K6:N6"/>
    <mergeCell ref="C7:D7"/>
    <mergeCell ref="O6:R6"/>
    <mergeCell ref="O7:O9"/>
    <mergeCell ref="P7:P9"/>
    <mergeCell ref="A41:S41"/>
    <mergeCell ref="A6:A38"/>
  </mergeCells>
  <conditionalFormatting sqref="N38">
    <cfRule type="cellIs" priority="1" dxfId="0" operator="lessThanOrEqual" stopIfTrue="1">
      <formula>0.6</formula>
    </cfRule>
  </conditionalFormatting>
  <printOptions/>
  <pageMargins left="0.75" right="0.75" top="1" bottom="1" header="0.5" footer="0.5"/>
  <pageSetup horizontalDpi="600" verticalDpi="600" orientation="portrait" paperSize="9" scale="42" r:id="rId4"/>
  <ignoredErrors>
    <ignoredError sqref="F19:F25 F26 F17:F18 G17:G26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0"/>
  <sheetViews>
    <sheetView zoomScalePageLayoutView="0" workbookViewId="0" topLeftCell="A1">
      <selection activeCell="A10" sqref="A10"/>
    </sheetView>
  </sheetViews>
  <sheetFormatPr defaultColWidth="0" defaultRowHeight="12.75" zeroHeight="1"/>
  <cols>
    <col min="1" max="1" width="11.140625" style="193" customWidth="1"/>
    <col min="2" max="2" width="15.421875" style="195" bestFit="1" customWidth="1"/>
    <col min="3" max="3" width="11.57421875" style="184" customWidth="1"/>
    <col min="4" max="4" width="15.421875" style="195" bestFit="1" customWidth="1"/>
    <col min="5" max="5" width="12.57421875" style="196" customWidth="1"/>
    <col min="6" max="6" width="10.7109375" style="197" customWidth="1"/>
    <col min="7" max="7" width="10.28125" style="196" customWidth="1"/>
    <col min="8" max="8" width="11.140625" style="196" customWidth="1"/>
    <col min="9" max="9" width="16.140625" style="196" customWidth="1"/>
    <col min="10" max="10" width="11.57421875" style="50" hidden="1" customWidth="1"/>
    <col min="11" max="11" width="9.57421875" style="50" hidden="1" customWidth="1"/>
    <col min="12" max="13" width="9.57421875" style="51" hidden="1" customWidth="1"/>
    <col min="14" max="14" width="9.140625" style="52" hidden="1" customWidth="1"/>
    <col min="15" max="16" width="9.140625" style="53" hidden="1" customWidth="1"/>
    <col min="17" max="17" width="11.140625" style="53" hidden="1" customWidth="1"/>
    <col min="18" max="18" width="7.57421875" style="53" hidden="1" customWidth="1"/>
    <col min="19" max="255" width="9.140625" style="53" hidden="1" customWidth="1"/>
    <col min="256" max="16384" width="0" style="53" hidden="1" customWidth="1"/>
  </cols>
  <sheetData>
    <row r="1" spans="1:14" s="40" customFormat="1" ht="33.75" customHeight="1" thickBot="1">
      <c r="A1" s="229" t="s">
        <v>110</v>
      </c>
      <c r="B1" s="30" t="s">
        <v>106</v>
      </c>
      <c r="C1" s="229" t="s">
        <v>111</v>
      </c>
      <c r="D1" s="31" t="s">
        <v>107</v>
      </c>
      <c r="E1" s="32" t="s">
        <v>50</v>
      </c>
      <c r="F1" s="33" t="s">
        <v>112</v>
      </c>
      <c r="G1" s="33" t="s">
        <v>47</v>
      </c>
      <c r="H1" s="34" t="s">
        <v>51</v>
      </c>
      <c r="I1" s="35" t="s">
        <v>8</v>
      </c>
      <c r="J1" s="36"/>
      <c r="K1" s="36"/>
      <c r="L1" s="37"/>
      <c r="M1" s="38"/>
      <c r="N1" s="39"/>
    </row>
    <row r="2" spans="1:14" s="47" customFormat="1" ht="17.25" customHeight="1" thickBot="1">
      <c r="A2" s="230"/>
      <c r="B2" s="41" t="s">
        <v>6</v>
      </c>
      <c r="C2" s="230"/>
      <c r="D2" s="42" t="s">
        <v>49</v>
      </c>
      <c r="E2" s="43"/>
      <c r="F2" s="44"/>
      <c r="G2" s="44"/>
      <c r="H2" s="44"/>
      <c r="I2" s="44"/>
      <c r="J2" s="36"/>
      <c r="K2" s="36"/>
      <c r="L2" s="45"/>
      <c r="M2" s="45"/>
      <c r="N2" s="46"/>
    </row>
    <row r="3" spans="1:14" s="47" customFormat="1" ht="12.75" customHeight="1">
      <c r="A3" s="177">
        <v>200</v>
      </c>
      <c r="B3" s="178">
        <v>0.003</v>
      </c>
      <c r="C3" s="179">
        <v>165.02</v>
      </c>
      <c r="D3" s="178">
        <v>0.0009076027631118374</v>
      </c>
      <c r="E3" s="177">
        <v>0.003</v>
      </c>
      <c r="F3" s="180">
        <v>50.15300065874108</v>
      </c>
      <c r="G3" s="177">
        <v>150</v>
      </c>
      <c r="H3" s="181">
        <v>0.05981695931641401</v>
      </c>
      <c r="I3" s="182">
        <v>115.06056093864886</v>
      </c>
      <c r="J3" s="48"/>
      <c r="K3" s="48"/>
      <c r="L3" s="37"/>
      <c r="M3" s="37"/>
      <c r="N3" s="46"/>
    </row>
    <row r="4" spans="1:14" s="40" customFormat="1" ht="12">
      <c r="A4" s="177">
        <v>194.87179487179486</v>
      </c>
      <c r="B4" s="178">
        <v>0.002693246362479927</v>
      </c>
      <c r="C4" s="9">
        <v>-165.02</v>
      </c>
      <c r="D4" s="178">
        <v>-0.01883438648967744</v>
      </c>
      <c r="E4" s="1"/>
      <c r="F4" s="183"/>
      <c r="G4" s="3"/>
      <c r="H4" s="3"/>
      <c r="I4" s="3"/>
      <c r="J4" s="48"/>
      <c r="K4" s="48"/>
      <c r="L4" s="37"/>
      <c r="M4" s="37"/>
      <c r="N4" s="39"/>
    </row>
    <row r="5" spans="1:14" s="40" customFormat="1" ht="12">
      <c r="A5" s="177">
        <v>184.61538461538458</v>
      </c>
      <c r="B5" s="178">
        <v>0.002079739087439784</v>
      </c>
      <c r="C5" s="9"/>
      <c r="D5" s="178"/>
      <c r="E5" s="1"/>
      <c r="F5" s="183"/>
      <c r="G5" s="3"/>
      <c r="H5" s="3"/>
      <c r="I5" s="3"/>
      <c r="J5" s="48"/>
      <c r="K5" s="48"/>
      <c r="L5" s="37"/>
      <c r="M5" s="37"/>
      <c r="N5" s="39"/>
    </row>
    <row r="6" spans="1:14" s="40" customFormat="1" ht="12">
      <c r="A6" s="177">
        <v>174.35897435897434</v>
      </c>
      <c r="B6" s="178">
        <v>0.0014662318123996399</v>
      </c>
      <c r="C6" s="9"/>
      <c r="D6" s="178"/>
      <c r="E6" s="1"/>
      <c r="F6" s="183"/>
      <c r="G6" s="3"/>
      <c r="H6" s="3"/>
      <c r="I6" s="3"/>
      <c r="J6" s="48"/>
      <c r="K6" s="48"/>
      <c r="L6" s="37"/>
      <c r="M6" s="37"/>
      <c r="N6" s="39"/>
    </row>
    <row r="7" spans="1:14" s="40" customFormat="1" ht="12">
      <c r="A7" s="177">
        <v>164.1025641025641</v>
      </c>
      <c r="B7" s="178">
        <v>0.0008527245373594963</v>
      </c>
      <c r="C7" s="184"/>
      <c r="D7" s="9"/>
      <c r="E7" s="1"/>
      <c r="F7" s="183"/>
      <c r="G7" s="3"/>
      <c r="H7" s="3"/>
      <c r="I7" s="3"/>
      <c r="J7" s="48"/>
      <c r="K7" s="48"/>
      <c r="L7" s="37"/>
      <c r="M7" s="37"/>
      <c r="N7" s="39"/>
    </row>
    <row r="8" spans="1:14" s="40" customFormat="1" ht="12">
      <c r="A8" s="177">
        <v>153.84615384615384</v>
      </c>
      <c r="B8" s="178">
        <v>0.00023921726231935266</v>
      </c>
      <c r="C8" s="184"/>
      <c r="D8" s="9"/>
      <c r="E8" s="1"/>
      <c r="F8" s="183"/>
      <c r="G8" s="3"/>
      <c r="H8" s="3"/>
      <c r="I8" s="3"/>
      <c r="J8" s="48"/>
      <c r="K8" s="48"/>
      <c r="L8" s="37"/>
      <c r="M8" s="37"/>
      <c r="N8" s="39"/>
    </row>
    <row r="9" spans="1:14" s="40" customFormat="1" ht="12">
      <c r="A9" s="177">
        <v>143.5897435897436</v>
      </c>
      <c r="B9" s="178">
        <v>-0.00037429001272079094</v>
      </c>
      <c r="C9" s="184"/>
      <c r="D9" s="9"/>
      <c r="E9" s="1"/>
      <c r="F9" s="183"/>
      <c r="G9" s="3"/>
      <c r="H9" s="3"/>
      <c r="I9" s="3"/>
      <c r="J9" s="48"/>
      <c r="K9" s="48"/>
      <c r="L9" s="37"/>
      <c r="M9" s="37"/>
      <c r="N9" s="39"/>
    </row>
    <row r="10" spans="1:14" s="40" customFormat="1" ht="12">
      <c r="A10" s="177">
        <v>133.33333333333331</v>
      </c>
      <c r="B10" s="178">
        <v>-0.0009877972877609345</v>
      </c>
      <c r="C10" s="184"/>
      <c r="D10" s="9"/>
      <c r="E10" s="1"/>
      <c r="F10" s="183"/>
      <c r="G10" s="3"/>
      <c r="H10" s="3"/>
      <c r="I10" s="3"/>
      <c r="J10" s="48"/>
      <c r="K10" s="48"/>
      <c r="L10" s="37"/>
      <c r="M10" s="37"/>
      <c r="N10" s="39"/>
    </row>
    <row r="11" spans="1:14" s="40" customFormat="1" ht="12">
      <c r="A11" s="177">
        <v>123.07692307692307</v>
      </c>
      <c r="B11" s="178">
        <v>-0.001601304562801078</v>
      </c>
      <c r="C11" s="184"/>
      <c r="D11" s="9"/>
      <c r="E11" s="1"/>
      <c r="F11" s="183"/>
      <c r="G11" s="3"/>
      <c r="H11" s="3"/>
      <c r="I11" s="3"/>
      <c r="J11" s="48"/>
      <c r="K11" s="48"/>
      <c r="L11" s="37"/>
      <c r="M11" s="37"/>
      <c r="N11" s="39"/>
    </row>
    <row r="12" spans="1:14" s="40" customFormat="1" ht="12">
      <c r="A12" s="177">
        <v>112.82051282051282</v>
      </c>
      <c r="B12" s="178">
        <v>-0.002214811837841222</v>
      </c>
      <c r="C12" s="184"/>
      <c r="D12" s="9"/>
      <c r="E12" s="1"/>
      <c r="F12" s="183"/>
      <c r="G12" s="3"/>
      <c r="H12" s="3"/>
      <c r="I12" s="3"/>
      <c r="J12" s="48"/>
      <c r="K12" s="48"/>
      <c r="L12" s="37"/>
      <c r="M12" s="37"/>
      <c r="N12" s="39"/>
    </row>
    <row r="13" spans="1:14" s="40" customFormat="1" ht="12">
      <c r="A13" s="177">
        <v>102.56410256410255</v>
      </c>
      <c r="B13" s="178">
        <v>-0.0028283191128813654</v>
      </c>
      <c r="C13" s="184"/>
      <c r="D13" s="9"/>
      <c r="E13" s="1"/>
      <c r="F13" s="183"/>
      <c r="G13" s="3"/>
      <c r="H13" s="3"/>
      <c r="I13" s="3"/>
      <c r="J13" s="48"/>
      <c r="K13" s="48"/>
      <c r="L13" s="37"/>
      <c r="M13" s="37"/>
      <c r="N13" s="39"/>
    </row>
    <row r="14" spans="1:14" s="40" customFormat="1" ht="12">
      <c r="A14" s="177">
        <v>92.30769230769229</v>
      </c>
      <c r="B14" s="178">
        <v>-0.0034418263879215094</v>
      </c>
      <c r="C14" s="184"/>
      <c r="D14" s="9"/>
      <c r="E14" s="2"/>
      <c r="F14" s="183"/>
      <c r="G14" s="3"/>
      <c r="H14" s="3"/>
      <c r="I14" s="3"/>
      <c r="J14" s="48"/>
      <c r="K14" s="48"/>
      <c r="L14" s="37"/>
      <c r="M14" s="37"/>
      <c r="N14" s="39"/>
    </row>
    <row r="15" spans="1:14" s="40" customFormat="1" ht="12">
      <c r="A15" s="177">
        <v>82.05128205128204</v>
      </c>
      <c r="B15" s="178">
        <v>-0.004055333662961653</v>
      </c>
      <c r="C15" s="184"/>
      <c r="D15" s="9"/>
      <c r="E15" s="2"/>
      <c r="F15" s="183"/>
      <c r="G15" s="3"/>
      <c r="H15" s="3"/>
      <c r="I15" s="3"/>
      <c r="J15" s="48"/>
      <c r="K15" s="48"/>
      <c r="L15" s="37"/>
      <c r="M15" s="37"/>
      <c r="N15" s="39"/>
    </row>
    <row r="16" spans="1:14" s="40" customFormat="1" ht="12">
      <c r="A16" s="177">
        <v>71.7948717948718</v>
      </c>
      <c r="B16" s="178">
        <v>-0.0046688409380017965</v>
      </c>
      <c r="C16" s="184"/>
      <c r="D16" s="9"/>
      <c r="E16" s="2"/>
      <c r="F16" s="183"/>
      <c r="G16" s="3"/>
      <c r="H16" s="3"/>
      <c r="I16" s="3"/>
      <c r="J16" s="48"/>
      <c r="K16" s="48"/>
      <c r="L16" s="37"/>
      <c r="M16" s="37"/>
      <c r="N16" s="39"/>
    </row>
    <row r="17" spans="1:14" s="40" customFormat="1" ht="12">
      <c r="A17" s="177">
        <v>61.53846153846153</v>
      </c>
      <c r="B17" s="178">
        <v>-0.00528234821304194</v>
      </c>
      <c r="C17" s="184"/>
      <c r="D17" s="9"/>
      <c r="E17" s="3"/>
      <c r="F17" s="183"/>
      <c r="G17" s="3"/>
      <c r="H17" s="3"/>
      <c r="I17" s="3"/>
      <c r="J17" s="48"/>
      <c r="K17" s="48"/>
      <c r="L17" s="37"/>
      <c r="M17" s="37"/>
      <c r="N17" s="39"/>
    </row>
    <row r="18" spans="1:14" s="40" customFormat="1" ht="12">
      <c r="A18" s="177">
        <v>51.28205128205128</v>
      </c>
      <c r="B18" s="178">
        <v>-0.005895855488082084</v>
      </c>
      <c r="C18" s="184"/>
      <c r="D18" s="9"/>
      <c r="E18" s="3"/>
      <c r="F18" s="183"/>
      <c r="G18" s="3"/>
      <c r="H18" s="3"/>
      <c r="I18" s="3"/>
      <c r="J18" s="48"/>
      <c r="K18" s="48"/>
      <c r="L18" s="37"/>
      <c r="M18" s="37"/>
      <c r="N18" s="39"/>
    </row>
    <row r="19" spans="1:14" s="40" customFormat="1" ht="12">
      <c r="A19" s="177">
        <v>41.02564102564102</v>
      </c>
      <c r="B19" s="178">
        <v>-0.006509362763122227</v>
      </c>
      <c r="C19" s="184"/>
      <c r="D19" s="9"/>
      <c r="E19" s="3"/>
      <c r="F19" s="183"/>
      <c r="G19" s="3"/>
      <c r="H19" s="3"/>
      <c r="I19" s="3"/>
      <c r="J19" s="48"/>
      <c r="K19" s="48"/>
      <c r="L19" s="37"/>
      <c r="M19" s="37"/>
      <c r="N19" s="39"/>
    </row>
    <row r="20" spans="1:14" s="40" customFormat="1" ht="12">
      <c r="A20" s="177">
        <v>30.769230769230766</v>
      </c>
      <c r="B20" s="178">
        <v>-0.007122870038162372</v>
      </c>
      <c r="C20" s="184"/>
      <c r="D20" s="9"/>
      <c r="E20" s="3"/>
      <c r="F20" s="183"/>
      <c r="G20" s="3"/>
      <c r="H20" s="3"/>
      <c r="I20" s="3"/>
      <c r="J20" s="48"/>
      <c r="K20" s="48"/>
      <c r="L20" s="37"/>
      <c r="M20" s="37"/>
      <c r="N20" s="39"/>
    </row>
    <row r="21" spans="1:14" s="40" customFormat="1" ht="12">
      <c r="A21" s="177">
        <v>20.51282051282051</v>
      </c>
      <c r="B21" s="178">
        <v>-0.007736377313202515</v>
      </c>
      <c r="C21" s="184"/>
      <c r="D21" s="9"/>
      <c r="E21" s="3"/>
      <c r="F21" s="183"/>
      <c r="G21" s="3"/>
      <c r="H21" s="3"/>
      <c r="I21" s="3"/>
      <c r="J21" s="48"/>
      <c r="K21" s="48"/>
      <c r="L21" s="37"/>
      <c r="M21" s="37"/>
      <c r="N21" s="39"/>
    </row>
    <row r="22" spans="1:14" s="40" customFormat="1" ht="12">
      <c r="A22" s="177">
        <v>10.256410256410255</v>
      </c>
      <c r="B22" s="178">
        <v>-0.008349884588242658</v>
      </c>
      <c r="C22" s="184"/>
      <c r="D22" s="9"/>
      <c r="E22" s="3"/>
      <c r="F22" s="183"/>
      <c r="G22" s="3"/>
      <c r="H22" s="3"/>
      <c r="I22" s="3"/>
      <c r="J22" s="48"/>
      <c r="K22" s="48"/>
      <c r="L22" s="37"/>
      <c r="M22" s="37"/>
      <c r="N22" s="39"/>
    </row>
    <row r="23" spans="1:14" s="40" customFormat="1" ht="12">
      <c r="A23" s="177">
        <v>-9.107298248878237E-16</v>
      </c>
      <c r="B23" s="178">
        <v>-0.008963391863282802</v>
      </c>
      <c r="C23" s="184"/>
      <c r="D23" s="9"/>
      <c r="E23" s="3"/>
      <c r="F23" s="183"/>
      <c r="G23" s="3"/>
      <c r="H23" s="3"/>
      <c r="I23" s="3"/>
      <c r="J23" s="48"/>
      <c r="K23" s="48"/>
      <c r="L23" s="37"/>
      <c r="M23" s="37"/>
      <c r="N23" s="39"/>
    </row>
    <row r="24" spans="1:14" s="40" customFormat="1" ht="12">
      <c r="A24" s="177">
        <v>-10.256410256410257</v>
      </c>
      <c r="B24" s="178">
        <v>-0.009576899138322945</v>
      </c>
      <c r="C24" s="184"/>
      <c r="D24" s="9"/>
      <c r="E24" s="185"/>
      <c r="F24" s="178"/>
      <c r="G24" s="3"/>
      <c r="H24" s="3"/>
      <c r="I24" s="185"/>
      <c r="J24" s="48"/>
      <c r="K24" s="48"/>
      <c r="L24" s="37"/>
      <c r="M24" s="37"/>
      <c r="N24" s="39"/>
    </row>
    <row r="25" spans="1:14" s="40" customFormat="1" ht="12">
      <c r="A25" s="177">
        <v>-20.512820512820515</v>
      </c>
      <c r="B25" s="178">
        <v>-0.01019040641336309</v>
      </c>
      <c r="C25" s="184"/>
      <c r="D25" s="9"/>
      <c r="E25" s="185"/>
      <c r="F25" s="178"/>
      <c r="G25" s="3"/>
      <c r="H25" s="3"/>
      <c r="I25" s="185"/>
      <c r="J25" s="48"/>
      <c r="K25" s="48"/>
      <c r="L25" s="37"/>
      <c r="M25" s="37"/>
      <c r="N25" s="39"/>
    </row>
    <row r="26" spans="1:14" s="40" customFormat="1" ht="12">
      <c r="A26" s="177">
        <v>-30.76923076923077</v>
      </c>
      <c r="B26" s="178">
        <v>-0.010803913688403234</v>
      </c>
      <c r="C26" s="184"/>
      <c r="D26" s="9"/>
      <c r="E26" s="185"/>
      <c r="F26" s="178"/>
      <c r="G26" s="3"/>
      <c r="H26" s="3"/>
      <c r="I26" s="185"/>
      <c r="J26" s="48"/>
      <c r="K26" s="48"/>
      <c r="L26" s="37"/>
      <c r="M26" s="37"/>
      <c r="N26" s="39"/>
    </row>
    <row r="27" spans="1:14" s="40" customFormat="1" ht="12">
      <c r="A27" s="177">
        <v>-41.02564102564103</v>
      </c>
      <c r="B27" s="178">
        <v>-0.011417420963443376</v>
      </c>
      <c r="C27" s="184"/>
      <c r="D27" s="9"/>
      <c r="E27" s="185"/>
      <c r="F27" s="178"/>
      <c r="G27" s="3"/>
      <c r="H27" s="3"/>
      <c r="I27" s="185"/>
      <c r="J27" s="48"/>
      <c r="K27" s="48"/>
      <c r="L27" s="37"/>
      <c r="M27" s="37"/>
      <c r="N27" s="39"/>
    </row>
    <row r="28" spans="1:14" s="40" customFormat="1" ht="12">
      <c r="A28" s="177">
        <v>-51.282051282051285</v>
      </c>
      <c r="B28" s="178">
        <v>-0.01203092823848352</v>
      </c>
      <c r="C28" s="184"/>
      <c r="D28" s="9"/>
      <c r="E28" s="185"/>
      <c r="F28" s="178"/>
      <c r="G28" s="3"/>
      <c r="H28" s="3"/>
      <c r="I28" s="185"/>
      <c r="J28" s="48"/>
      <c r="K28" s="48"/>
      <c r="L28" s="37"/>
      <c r="M28" s="37"/>
      <c r="N28" s="39"/>
    </row>
    <row r="29" spans="1:14" s="40" customFormat="1" ht="12">
      <c r="A29" s="177">
        <v>-61.53846153846154</v>
      </c>
      <c r="B29" s="178">
        <v>-0.012644435513523664</v>
      </c>
      <c r="C29" s="184"/>
      <c r="D29" s="9"/>
      <c r="E29" s="185"/>
      <c r="F29" s="178"/>
      <c r="G29" s="3"/>
      <c r="H29" s="3"/>
      <c r="I29" s="185"/>
      <c r="J29" s="48"/>
      <c r="K29" s="48"/>
      <c r="L29" s="37"/>
      <c r="M29" s="37"/>
      <c r="N29" s="39"/>
    </row>
    <row r="30" spans="1:14" s="40" customFormat="1" ht="12">
      <c r="A30" s="177">
        <v>-71.7948717948718</v>
      </c>
      <c r="B30" s="178">
        <v>-0.013257942788563806</v>
      </c>
      <c r="C30" s="184"/>
      <c r="D30" s="9"/>
      <c r="E30" s="185"/>
      <c r="F30" s="178"/>
      <c r="G30" s="3"/>
      <c r="H30" s="3"/>
      <c r="I30" s="185"/>
      <c r="J30" s="48"/>
      <c r="K30" s="48"/>
      <c r="L30" s="37"/>
      <c r="M30" s="37"/>
      <c r="N30" s="39"/>
    </row>
    <row r="31" spans="1:14" s="40" customFormat="1" ht="12">
      <c r="A31" s="177">
        <v>-82.05128205128206</v>
      </c>
      <c r="B31" s="178">
        <v>-0.01387145006360395</v>
      </c>
      <c r="C31" s="184"/>
      <c r="D31" s="9"/>
      <c r="E31" s="185"/>
      <c r="F31" s="178"/>
      <c r="G31" s="3"/>
      <c r="H31" s="3"/>
      <c r="I31" s="185"/>
      <c r="J31" s="48"/>
      <c r="K31" s="48"/>
      <c r="L31" s="37"/>
      <c r="M31" s="37"/>
      <c r="N31" s="39"/>
    </row>
    <row r="32" spans="1:14" s="40" customFormat="1" ht="12">
      <c r="A32" s="177">
        <v>-92.30769230769232</v>
      </c>
      <c r="B32" s="178">
        <v>-0.014484957338644095</v>
      </c>
      <c r="C32" s="184"/>
      <c r="D32" s="9"/>
      <c r="E32" s="185"/>
      <c r="F32" s="178"/>
      <c r="G32" s="3"/>
      <c r="H32" s="3"/>
      <c r="I32" s="185"/>
      <c r="J32" s="48"/>
      <c r="K32" s="48"/>
      <c r="L32" s="37"/>
      <c r="M32" s="37"/>
      <c r="N32" s="39"/>
    </row>
    <row r="33" spans="1:14" s="40" customFormat="1" ht="12">
      <c r="A33" s="177">
        <v>-102.56410256410257</v>
      </c>
      <c r="B33" s="178">
        <v>-0.015098464613684238</v>
      </c>
      <c r="C33" s="184"/>
      <c r="D33" s="9"/>
      <c r="E33" s="185"/>
      <c r="F33" s="178"/>
      <c r="G33" s="3"/>
      <c r="H33" s="3"/>
      <c r="I33" s="185"/>
      <c r="J33" s="48"/>
      <c r="K33" s="48"/>
      <c r="L33" s="37"/>
      <c r="M33" s="37"/>
      <c r="N33" s="39"/>
    </row>
    <row r="34" spans="1:14" s="40" customFormat="1" ht="12">
      <c r="A34" s="177">
        <v>-112.82051282051283</v>
      </c>
      <c r="B34" s="178">
        <v>-0.015711971888724384</v>
      </c>
      <c r="C34" s="184"/>
      <c r="D34" s="9"/>
      <c r="E34" s="185"/>
      <c r="F34" s="178"/>
      <c r="G34" s="3"/>
      <c r="H34" s="3"/>
      <c r="I34" s="185"/>
      <c r="J34" s="48"/>
      <c r="K34" s="48"/>
      <c r="L34" s="37"/>
      <c r="M34" s="37"/>
      <c r="N34" s="39"/>
    </row>
    <row r="35" spans="1:14" s="40" customFormat="1" ht="12">
      <c r="A35" s="177">
        <v>-123.07692307692308</v>
      </c>
      <c r="B35" s="178">
        <v>-0.016325479163764523</v>
      </c>
      <c r="C35" s="184"/>
      <c r="D35" s="9"/>
      <c r="E35" s="185"/>
      <c r="F35" s="178"/>
      <c r="G35" s="3"/>
      <c r="H35" s="3"/>
      <c r="I35" s="185"/>
      <c r="J35" s="48"/>
      <c r="K35" s="48"/>
      <c r="L35" s="37"/>
      <c r="M35" s="37"/>
      <c r="N35" s="39"/>
    </row>
    <row r="36" spans="1:14" s="40" customFormat="1" ht="12">
      <c r="A36" s="177">
        <v>-133.33333333333334</v>
      </c>
      <c r="B36" s="178">
        <v>-0.016938986438804673</v>
      </c>
      <c r="C36" s="184"/>
      <c r="D36" s="9"/>
      <c r="E36" s="185"/>
      <c r="F36" s="178"/>
      <c r="G36" s="3"/>
      <c r="H36" s="3"/>
      <c r="I36" s="185"/>
      <c r="J36" s="48"/>
      <c r="K36" s="48"/>
      <c r="L36" s="37"/>
      <c r="M36" s="37"/>
      <c r="N36" s="39"/>
    </row>
    <row r="37" spans="1:14" s="40" customFormat="1" ht="12">
      <c r="A37" s="177">
        <v>-143.5897435897436</v>
      </c>
      <c r="B37" s="178">
        <v>-0.017552493713844812</v>
      </c>
      <c r="C37" s="184"/>
      <c r="D37" s="9"/>
      <c r="E37" s="185"/>
      <c r="F37" s="178"/>
      <c r="G37" s="3"/>
      <c r="H37" s="3"/>
      <c r="I37" s="185"/>
      <c r="J37" s="48"/>
      <c r="K37" s="48"/>
      <c r="L37" s="37"/>
      <c r="M37" s="37"/>
      <c r="N37" s="39"/>
    </row>
    <row r="38" spans="1:14" s="40" customFormat="1" ht="12">
      <c r="A38" s="177">
        <v>-153.84615384615384</v>
      </c>
      <c r="B38" s="178">
        <v>-0.018166000988884958</v>
      </c>
      <c r="C38" s="184"/>
      <c r="D38" s="9"/>
      <c r="E38" s="185"/>
      <c r="F38" s="178"/>
      <c r="G38" s="3"/>
      <c r="H38" s="3"/>
      <c r="I38" s="185"/>
      <c r="J38" s="48"/>
      <c r="K38" s="48"/>
      <c r="L38" s="37"/>
      <c r="M38" s="37"/>
      <c r="N38" s="39"/>
    </row>
    <row r="39" spans="1:14" s="40" customFormat="1" ht="12">
      <c r="A39" s="177">
        <v>-164.10256410256412</v>
      </c>
      <c r="B39" s="178">
        <v>-0.0187795082639251</v>
      </c>
      <c r="C39" s="184"/>
      <c r="D39" s="9"/>
      <c r="E39" s="185"/>
      <c r="F39" s="178"/>
      <c r="G39" s="3"/>
      <c r="H39" s="3"/>
      <c r="I39" s="185"/>
      <c r="J39" s="48"/>
      <c r="K39" s="48"/>
      <c r="L39" s="37"/>
      <c r="M39" s="37"/>
      <c r="N39" s="39"/>
    </row>
    <row r="40" spans="1:14" s="40" customFormat="1" ht="12">
      <c r="A40" s="177">
        <v>-174.35897435897436</v>
      </c>
      <c r="B40" s="178">
        <v>-0.019393015538965247</v>
      </c>
      <c r="C40" s="184"/>
      <c r="D40" s="9"/>
      <c r="E40" s="185"/>
      <c r="F40" s="178"/>
      <c r="G40" s="3"/>
      <c r="H40" s="3"/>
      <c r="I40" s="185"/>
      <c r="J40" s="48"/>
      <c r="K40" s="48"/>
      <c r="L40" s="37"/>
      <c r="M40" s="37"/>
      <c r="N40" s="39"/>
    </row>
    <row r="41" spans="1:14" s="40" customFormat="1" ht="12">
      <c r="A41" s="177">
        <v>-184.61538461538464</v>
      </c>
      <c r="B41" s="178">
        <v>-0.02000652281400539</v>
      </c>
      <c r="C41" s="184"/>
      <c r="D41" s="9"/>
      <c r="E41" s="185"/>
      <c r="F41" s="178"/>
      <c r="G41" s="3"/>
      <c r="H41" s="3"/>
      <c r="I41" s="185"/>
      <c r="J41" s="48"/>
      <c r="K41" s="48"/>
      <c r="L41" s="37"/>
      <c r="M41" s="37"/>
      <c r="N41" s="39"/>
    </row>
    <row r="42" spans="1:14" s="40" customFormat="1" ht="12">
      <c r="A42" s="177">
        <v>-194.8717948717949</v>
      </c>
      <c r="B42" s="178">
        <v>-0.020620030089045532</v>
      </c>
      <c r="C42" s="184"/>
      <c r="D42" s="9"/>
      <c r="E42" s="185"/>
      <c r="F42" s="178"/>
      <c r="G42" s="3"/>
      <c r="H42" s="3"/>
      <c r="I42" s="185"/>
      <c r="J42" s="48"/>
      <c r="K42" s="48"/>
      <c r="L42" s="37"/>
      <c r="M42" s="37"/>
      <c r="N42" s="39"/>
    </row>
    <row r="43" spans="1:14" s="40" customFormat="1" ht="12">
      <c r="A43" s="177">
        <v>-205.12820512820514</v>
      </c>
      <c r="B43" s="178">
        <v>-0.021233537364085675</v>
      </c>
      <c r="C43" s="184"/>
      <c r="D43" s="177"/>
      <c r="E43" s="185"/>
      <c r="F43" s="183"/>
      <c r="G43" s="3"/>
      <c r="H43" s="3"/>
      <c r="I43" s="3"/>
      <c r="J43" s="48"/>
      <c r="K43" s="48"/>
      <c r="L43" s="37"/>
      <c r="M43" s="37"/>
      <c r="N43" s="39"/>
    </row>
    <row r="44" spans="1:14" s="40" customFormat="1" ht="12">
      <c r="A44" s="9"/>
      <c r="B44" s="186"/>
      <c r="C44" s="184"/>
      <c r="D44" s="186"/>
      <c r="E44" s="185"/>
      <c r="F44" s="183"/>
      <c r="G44" s="3"/>
      <c r="H44" s="3"/>
      <c r="I44" s="3"/>
      <c r="J44" s="48"/>
      <c r="K44" s="48"/>
      <c r="L44" s="37"/>
      <c r="M44" s="38"/>
      <c r="N44" s="39"/>
    </row>
    <row r="45" spans="1:14" s="40" customFormat="1" ht="12">
      <c r="A45" s="187"/>
      <c r="B45" s="188"/>
      <c r="C45" s="184"/>
      <c r="D45" s="189"/>
      <c r="E45" s="185"/>
      <c r="F45" s="190"/>
      <c r="G45" s="191"/>
      <c r="H45" s="192"/>
      <c r="I45" s="191"/>
      <c r="J45" s="48"/>
      <c r="K45" s="48"/>
      <c r="L45" s="37"/>
      <c r="M45" s="37"/>
      <c r="N45" s="39"/>
    </row>
    <row r="46" spans="1:14" s="40" customFormat="1" ht="12">
      <c r="A46" s="187"/>
      <c r="B46" s="193"/>
      <c r="C46" s="184"/>
      <c r="D46" s="9"/>
      <c r="E46" s="185"/>
      <c r="F46" s="190"/>
      <c r="G46" s="191"/>
      <c r="H46" s="5"/>
      <c r="I46" s="3"/>
      <c r="J46" s="48"/>
      <c r="K46" s="48"/>
      <c r="L46" s="37"/>
      <c r="M46" s="38"/>
      <c r="N46" s="39"/>
    </row>
    <row r="47" spans="1:14" s="40" customFormat="1" ht="12">
      <c r="A47" s="187"/>
      <c r="B47" s="10"/>
      <c r="C47" s="184"/>
      <c r="D47" s="187"/>
      <c r="E47" s="185"/>
      <c r="F47" s="194"/>
      <c r="G47" s="191"/>
      <c r="H47" s="5"/>
      <c r="I47" s="3"/>
      <c r="J47" s="48"/>
      <c r="K47" s="48"/>
      <c r="L47" s="37"/>
      <c r="M47" s="38"/>
      <c r="N47" s="39"/>
    </row>
    <row r="48" spans="1:14" s="40" customFormat="1" ht="12.75">
      <c r="A48" s="6"/>
      <c r="B48" s="6"/>
      <c r="C48" s="184"/>
      <c r="D48" s="6"/>
      <c r="E48" s="6"/>
      <c r="F48" s="4"/>
      <c r="G48" s="4"/>
      <c r="H48" s="4"/>
      <c r="I48" s="3"/>
      <c r="J48" s="49"/>
      <c r="K48" s="49"/>
      <c r="L48" s="49"/>
      <c r="M48" s="49"/>
      <c r="N48" s="39"/>
    </row>
    <row r="49" spans="1:14" s="40" customFormat="1" ht="12.75">
      <c r="A49" s="11"/>
      <c r="B49" s="7"/>
      <c r="C49" s="184"/>
      <c r="D49" s="7"/>
      <c r="E49" s="7"/>
      <c r="F49" s="4"/>
      <c r="G49" s="4"/>
      <c r="H49" s="4"/>
      <c r="I49" s="3"/>
      <c r="J49" s="49"/>
      <c r="K49" s="49"/>
      <c r="L49" s="49"/>
      <c r="M49" s="49"/>
      <c r="N49" s="39"/>
    </row>
    <row r="50" spans="1:14" s="40" customFormat="1" ht="12.75">
      <c r="A50" s="7"/>
      <c r="B50" s="7"/>
      <c r="C50" s="184"/>
      <c r="D50" s="7"/>
      <c r="E50" s="7"/>
      <c r="F50" s="184"/>
      <c r="G50" s="8"/>
      <c r="H50" s="4"/>
      <c r="I50" s="3"/>
      <c r="J50" s="49"/>
      <c r="K50" s="49"/>
      <c r="L50" s="49"/>
      <c r="M50" s="49"/>
      <c r="N50" s="39"/>
    </row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</sheetData>
  <sheetProtection selectLockedCells="1" selectUnlockedCells="1"/>
  <mergeCells count="2">
    <mergeCell ref="A1:A2"/>
    <mergeCell ref="C1:C2"/>
  </mergeCells>
  <printOptions/>
  <pageMargins left="0.75" right="0.75" top="1" bottom="1" header="0.5" footer="0.5"/>
  <pageSetup fitToHeight="1" fitToWidth="1" horizontalDpi="300" verticalDpi="300" orientation="portrait" paperSize="9" scale="2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Moment-Curvature</dc:title>
  <dc:subject/>
  <dc:creator>Leonardo Da Vinci Project</dc:creator>
  <cp:keywords/>
  <dc:description/>
  <cp:lastModifiedBy>Karel Jung</cp:lastModifiedBy>
  <cp:lastPrinted>2006-05-13T11:21:29Z</cp:lastPrinted>
  <dcterms:created xsi:type="dcterms:W3CDTF">1996-10-28T19:35:14Z</dcterms:created>
  <dcterms:modified xsi:type="dcterms:W3CDTF">2014-06-04T09:39:45Z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-2052404845</vt:i4>
  </property>
  <property fmtid="{D5CDD505-2E9C-101B-9397-08002B2CF9AE}" pid="3" name="_EmailSubject">
    <vt:lpwstr>sargılı</vt:lpwstr>
  </property>
  <property fmtid="{D5CDD505-2E9C-101B-9397-08002B2CF9AE}" pid="4" name="_AuthorEmail">
    <vt:lpwstr>syilmaz@pamukkale.edu.tr</vt:lpwstr>
  </property>
  <property fmtid="{D5CDD505-2E9C-101B-9397-08002B2CF9AE}" pid="5" name="_AuthorEmailDisplayName">
    <vt:lpwstr>Salih Yılmaz</vt:lpwstr>
  </property>
  <property fmtid="{D5CDD505-2E9C-101B-9397-08002B2CF9AE}" pid="6" name="_PreviousAdHocReviewCycleID">
    <vt:i4>-2052404845</vt:i4>
  </property>
  <property fmtid="{D5CDD505-2E9C-101B-9397-08002B2CF9AE}" pid="7" name="_ReviewingToolsShownOnce">
    <vt:lpwstr/>
  </property>
</Properties>
</file>